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Resumo" sheetId="2" r:id="rId5"/>
    <sheet state="visible" name="Tabelas" sheetId="3" r:id="rId6"/>
    <sheet state="visible" name="Entrada" sheetId="4" r:id="rId7"/>
    <sheet state="visible" name="Saída" sheetId="5" r:id="rId8"/>
    <sheet state="visible" name="Movimentação" sheetId="6" r:id="rId9"/>
    <sheet state="visible" name="Cartões" sheetId="7" r:id="rId10"/>
  </sheets>
  <definedNames/>
  <calcPr/>
</workbook>
</file>

<file path=xl/sharedStrings.xml><?xml version="1.0" encoding="utf-8"?>
<sst xmlns="http://schemas.openxmlformats.org/spreadsheetml/2006/main" count="4569" uniqueCount="343">
  <si>
    <t>Nome:</t>
  </si>
  <si>
    <t>Ivan Alisson Cavalcante Nunes De Lima</t>
  </si>
  <si>
    <t>Ano:</t>
  </si>
  <si>
    <t>Instruções:</t>
  </si>
  <si>
    <t>1 -</t>
  </si>
  <si>
    <t>Na tabela "Lista de contas" adicione nomes que identificam as contas que deseja acompanhar.</t>
  </si>
  <si>
    <t>1 - Lista de contas</t>
  </si>
  <si>
    <t>2 - Lista de cartões</t>
  </si>
  <si>
    <t>- Em seguida selecione o tipo da conta e defina um código de identificação para essa conta, preferenciamente alfanumérico</t>
  </si>
  <si>
    <t>Contas</t>
  </si>
  <si>
    <t>Tipo</t>
  </si>
  <si>
    <t>Código</t>
  </si>
  <si>
    <t>Cartões</t>
  </si>
  <si>
    <t>- Caso o tipo da conta não esteja na lista, basta ir a aba 'Tabelas' e adicionar no campo 'Tipos de conta'</t>
  </si>
  <si>
    <t>Nubank</t>
  </si>
  <si>
    <t>Conta corrente</t>
  </si>
  <si>
    <t>NU</t>
  </si>
  <si>
    <t>NUCC</t>
  </si>
  <si>
    <t>Poupança</t>
  </si>
  <si>
    <t>NP</t>
  </si>
  <si>
    <t>Carrefour</t>
  </si>
  <si>
    <t>CAR4</t>
  </si>
  <si>
    <t xml:space="preserve">2 - </t>
  </si>
  <si>
    <t>Na tabela "Lista de cartões" adicione os cartões que deseja companhar</t>
  </si>
  <si>
    <t>Carteira</t>
  </si>
  <si>
    <t>Físico</t>
  </si>
  <si>
    <t>CT</t>
  </si>
  <si>
    <t>Credicard</t>
  </si>
  <si>
    <t>CRDC</t>
  </si>
  <si>
    <t>- Nome e um código de identificação</t>
  </si>
  <si>
    <t>Banco Do Brasil</t>
  </si>
  <si>
    <t>BB</t>
  </si>
  <si>
    <t>Rico</t>
  </si>
  <si>
    <t>Investimento</t>
  </si>
  <si>
    <t>RC</t>
  </si>
  <si>
    <t>3 -</t>
  </si>
  <si>
    <t>As tabelas "Balanço" e "Cartões" são automáticas</t>
  </si>
  <si>
    <t>PicPay</t>
  </si>
  <si>
    <t>Conta Corrente</t>
  </si>
  <si>
    <t>PP</t>
  </si>
  <si>
    <t>- Nessas tabelas você pode acompanhar o saldo atual presente em cada conta</t>
  </si>
  <si>
    <t>PagSeguro</t>
  </si>
  <si>
    <t>PS</t>
  </si>
  <si>
    <t>- Em "Balanço" é necessário preencher apenas a linha "Inicial", com o valor atual em cada uma das contas que estão sendo controladas</t>
  </si>
  <si>
    <t>e a linha "Código' com o código de identificação de cada conta, definido por você</t>
  </si>
  <si>
    <t>- Em cartões o campo "Inicial" se refere ao saldo devedor do cartão e "Limite" se refere ao limite do cartão</t>
  </si>
  <si>
    <t>- O valor devedor tem que ser negativo, exemplo -1900,00</t>
  </si>
  <si>
    <t>3 - Balanço</t>
  </si>
  <si>
    <t>Montante</t>
  </si>
  <si>
    <t>Inicial</t>
  </si>
  <si>
    <t>Atual</t>
  </si>
  <si>
    <t>4 - Cartões</t>
  </si>
  <si>
    <t xml:space="preserve"> R$  (2.316,35)</t>
  </si>
  <si>
    <t>Limite</t>
  </si>
  <si>
    <t>Proporção</t>
  </si>
  <si>
    <t>Visão Geral - Entrada e gastos por categoria</t>
  </si>
  <si>
    <t>Entrada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</si>
  <si>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</si>
  <si>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</si>
  <si>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</si>
  <si>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</si>
  <si>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</si>
  <si>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</si>
  <si>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</si>
  <si>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</si>
  <si>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</si>
  <si>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</si>
  <si>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</si>
  <si>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</si>
  <si>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</si>
  <si>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Saída</t>
  </si>
  <si>
    <t>1 - Nesta planilha serão adicionadas as categorias que desejar controlar, os campos vazios estão livres para esta finalidade</t>
  </si>
  <si>
    <t>- As categorias são separadas em três grupos 'Gastos', 'Recebido' e 'Movimentação'</t>
  </si>
  <si>
    <t xml:space="preserve">Gastos: </t>
  </si>
  <si>
    <t>Aqui você define as categorias dos gastos que deseja controlar.</t>
  </si>
  <si>
    <t>Recebido:</t>
  </si>
  <si>
    <t>Segue a mesma ideia do campo anterior, porém você definirá categorias que representem a entrada de renda.</t>
  </si>
  <si>
    <t>Movimentação:</t>
  </si>
  <si>
    <t>Categorias de movimentação de dinheiro entre contas</t>
  </si>
  <si>
    <t>Categorias de fluxos</t>
  </si>
  <si>
    <t>Tipos de Conta</t>
  </si>
  <si>
    <t>Gastos</t>
  </si>
  <si>
    <t>Recebido</t>
  </si>
  <si>
    <t>Movimentação</t>
  </si>
  <si>
    <t>Nome</t>
  </si>
  <si>
    <t>Alimentação</t>
  </si>
  <si>
    <t>AL</t>
  </si>
  <si>
    <t>Mesada</t>
  </si>
  <si>
    <t>ME</t>
  </si>
  <si>
    <t>Saque</t>
  </si>
  <si>
    <t>SQ</t>
  </si>
  <si>
    <t>Habitação</t>
  </si>
  <si>
    <t>HA</t>
  </si>
  <si>
    <t>Salário</t>
  </si>
  <si>
    <t>SA</t>
  </si>
  <si>
    <t>Transferência</t>
  </si>
  <si>
    <t>TF</t>
  </si>
  <si>
    <t>Débito</t>
  </si>
  <si>
    <t>Lazer</t>
  </si>
  <si>
    <t>LA</t>
  </si>
  <si>
    <t>Rend. Extra</t>
  </si>
  <si>
    <t>RE</t>
  </si>
  <si>
    <t>Transporte</t>
  </si>
  <si>
    <t>TR</t>
  </si>
  <si>
    <t>Temporário</t>
  </si>
  <si>
    <t>TE</t>
  </si>
  <si>
    <t>Extra</t>
  </si>
  <si>
    <t>EX</t>
  </si>
  <si>
    <t>Rendimentos</t>
  </si>
  <si>
    <t>RD</t>
  </si>
  <si>
    <t>Educação</t>
  </si>
  <si>
    <t>ED</t>
  </si>
  <si>
    <t>Retorno</t>
  </si>
  <si>
    <t>RET</t>
  </si>
  <si>
    <t>Saúde</t>
  </si>
  <si>
    <t>SD</t>
  </si>
  <si>
    <t>Fatura</t>
  </si>
  <si>
    <t>PF</t>
  </si>
  <si>
    <t>Serviços</t>
  </si>
  <si>
    <t>SR</t>
  </si>
  <si>
    <t>Produtos</t>
  </si>
  <si>
    <t>PD</t>
  </si>
  <si>
    <t>Feira</t>
  </si>
  <si>
    <t>FR</t>
  </si>
  <si>
    <t>Empréstimo</t>
  </si>
  <si>
    <t>EM</t>
  </si>
  <si>
    <t>Detalhamento</t>
  </si>
  <si>
    <t>Mês</t>
  </si>
  <si>
    <t>Categoria</t>
  </si>
  <si>
    <t>Dia</t>
  </si>
  <si>
    <t>Descrição</t>
  </si>
  <si>
    <t>Valor</t>
  </si>
  <si>
    <t>Destino</t>
  </si>
  <si>
    <t>Combustível</t>
  </si>
  <si>
    <t>Combustível Marina</t>
  </si>
  <si>
    <t>Cabo</t>
  </si>
  <si>
    <t>Diarista X2</t>
  </si>
  <si>
    <t>Serviço José</t>
  </si>
  <si>
    <t>Dinheiro para investir</t>
  </si>
  <si>
    <t>Pix camila</t>
  </si>
  <si>
    <t>Rendimento CC</t>
  </si>
  <si>
    <t>Rendimento Poup</t>
  </si>
  <si>
    <t>Serviço Lucas</t>
  </si>
  <si>
    <t>Guarda Roupa</t>
  </si>
  <si>
    <t>Cosern</t>
  </si>
  <si>
    <t>Serviço Camila</t>
  </si>
  <si>
    <t>Condomínio</t>
  </si>
  <si>
    <t>Diarista? x2</t>
  </si>
  <si>
    <t>Bolsa</t>
  </si>
  <si>
    <t>Moany</t>
  </si>
  <si>
    <t>Rendimentos NU</t>
  </si>
  <si>
    <t>Rendimento NP</t>
  </si>
  <si>
    <t>Pneu</t>
  </si>
  <si>
    <t>Tabatinga</t>
  </si>
  <si>
    <t>Serviço Maria Salete</t>
  </si>
  <si>
    <t>Measda</t>
  </si>
  <si>
    <t>Condomínio + gás</t>
  </si>
  <si>
    <t>Rendimento PicPay</t>
  </si>
  <si>
    <t>Diarista x3</t>
  </si>
  <si>
    <t>Pizzas</t>
  </si>
  <si>
    <t>Serviço José Calazans</t>
  </si>
  <si>
    <t>Rendimento Nu</t>
  </si>
  <si>
    <t>Açaí Moa</t>
  </si>
  <si>
    <t>Rendimentos Nu</t>
  </si>
  <si>
    <t>Diarista x2 Roupa X2</t>
  </si>
  <si>
    <t>Zeca Calasans</t>
  </si>
  <si>
    <t>Venda Sub</t>
  </si>
  <si>
    <t>Abastecimento</t>
  </si>
  <si>
    <t>Retorno suplementos</t>
  </si>
  <si>
    <t>Moany celular</t>
  </si>
  <si>
    <t>Mesada Descontada</t>
  </si>
  <si>
    <t>Recebido de Moany</t>
  </si>
  <si>
    <t xml:space="preserve">Clover </t>
  </si>
  <si>
    <t>Moany Depósito</t>
  </si>
  <si>
    <t>Manoel</t>
  </si>
  <si>
    <t>Uber Moany</t>
  </si>
  <si>
    <t>Moany Pizza</t>
  </si>
  <si>
    <t>Presente Angélica</t>
  </si>
  <si>
    <t>Diarista e Roupa X2</t>
  </si>
  <si>
    <t>Moany Jnatar</t>
  </si>
  <si>
    <t>Instituto Athena</t>
  </si>
  <si>
    <t>Vencimento pagbank</t>
  </si>
  <si>
    <t>Pizza</t>
  </si>
  <si>
    <t>Pagamento mãe</t>
  </si>
  <si>
    <t>Almoço Moa e eu</t>
  </si>
  <si>
    <t>Atena</t>
  </si>
  <si>
    <t>Manu Oxe</t>
  </si>
  <si>
    <t>Almoço pai</t>
  </si>
  <si>
    <t>Energia</t>
  </si>
  <si>
    <t>Serviço Raissa</t>
  </si>
  <si>
    <t>Rendimento Nubank</t>
  </si>
  <si>
    <t>Jantar com Moa</t>
  </si>
  <si>
    <t>Diarista e Roupa x2</t>
  </si>
  <si>
    <t>Serviço Vanessa</t>
  </si>
  <si>
    <t>Peças C4</t>
  </si>
  <si>
    <t>Energia e Condomínio</t>
  </si>
  <si>
    <t>Rendimento</t>
  </si>
  <si>
    <t>Dinheiro Moa</t>
  </si>
  <si>
    <t>Dinheiro Atena</t>
  </si>
  <si>
    <t>Nubank Poup</t>
  </si>
  <si>
    <t>Nubank Conta</t>
  </si>
  <si>
    <t>Jantar com Camila</t>
  </si>
  <si>
    <t>Serviço Renata</t>
  </si>
  <si>
    <t>Camila</t>
  </si>
  <si>
    <t>Serviço Raul</t>
  </si>
  <si>
    <t>Diarista X2 Roupa X2</t>
  </si>
  <si>
    <t>Moany Uber</t>
  </si>
  <si>
    <t>Jantar Moany</t>
  </si>
  <si>
    <t>Roupa X2</t>
  </si>
  <si>
    <t>Rendimento Pagbank</t>
  </si>
  <si>
    <t>Serviço Marcelo</t>
  </si>
  <si>
    <t>Serviço Jardel</t>
  </si>
  <si>
    <t>Angélica Aeroporto</t>
  </si>
  <si>
    <t>Pagseguro</t>
  </si>
  <si>
    <t>Cabo e Condominio</t>
  </si>
  <si>
    <t>Moany pizza</t>
  </si>
  <si>
    <t>Moany combustível</t>
  </si>
  <si>
    <t>Manu</t>
  </si>
  <si>
    <t>Nubank CC</t>
  </si>
  <si>
    <t>Nubank Poupança</t>
  </si>
  <si>
    <t>LAIS</t>
  </si>
  <si>
    <t>Origem</t>
  </si>
  <si>
    <t>Cod. Cartão</t>
  </si>
  <si>
    <t>ID</t>
  </si>
  <si>
    <t>Valor total</t>
  </si>
  <si>
    <t>Parcelas</t>
  </si>
  <si>
    <t>V/ parcela</t>
  </si>
  <si>
    <t>Cartão</t>
  </si>
  <si>
    <t>Restante inside</t>
  </si>
  <si>
    <t>Frutas</t>
  </si>
  <si>
    <t>Restante Alura</t>
  </si>
  <si>
    <t>Fatura Nubank</t>
  </si>
  <si>
    <t>SmartFit</t>
  </si>
  <si>
    <t>Centauro tênis</t>
  </si>
  <si>
    <t>Miranda Mouse</t>
  </si>
  <si>
    <t>Praia</t>
  </si>
  <si>
    <t>Diarista X1</t>
  </si>
  <si>
    <t>Açaí</t>
  </si>
  <si>
    <t>Almoço</t>
  </si>
  <si>
    <t>Creatina</t>
  </si>
  <si>
    <t>Mi band</t>
  </si>
  <si>
    <t>Sushi</t>
  </si>
  <si>
    <t>Água</t>
  </si>
  <si>
    <t>Lucena</t>
  </si>
  <si>
    <t>Mineirão</t>
  </si>
  <si>
    <t>Diarista x1</t>
  </si>
  <si>
    <t>MIneirão</t>
  </si>
  <si>
    <t>Guarda roupa</t>
  </si>
  <si>
    <t>Farmácia</t>
  </si>
  <si>
    <t>Jantar</t>
  </si>
  <si>
    <t>PIzza</t>
  </si>
  <si>
    <t>Diarista x2</t>
  </si>
  <si>
    <t>Anuidade Smart</t>
  </si>
  <si>
    <t>Pneu do carro</t>
  </si>
  <si>
    <t>Crédito tim</t>
  </si>
  <si>
    <t>Sorvete</t>
  </si>
  <si>
    <t>Gás</t>
  </si>
  <si>
    <t>Roupa x1</t>
  </si>
  <si>
    <t>Tablet</t>
  </si>
  <si>
    <t>Lampadinha</t>
  </si>
  <si>
    <t>Testador de cabos</t>
  </si>
  <si>
    <t>Roupa x2</t>
  </si>
  <si>
    <t>Roupa X1</t>
  </si>
  <si>
    <t>Recarga</t>
  </si>
  <si>
    <t>Suplementos</t>
  </si>
  <si>
    <t>Goodala</t>
  </si>
  <si>
    <t>Rico Celular</t>
  </si>
  <si>
    <t>Transferido para Moany</t>
  </si>
  <si>
    <t>Banggood</t>
  </si>
  <si>
    <t>Godala</t>
  </si>
  <si>
    <t>Uber</t>
  </si>
  <si>
    <t>Thin San</t>
  </si>
  <si>
    <t>Icebode</t>
  </si>
  <si>
    <t>Oxe bar</t>
  </si>
  <si>
    <t>Yakissoba</t>
  </si>
  <si>
    <t>Ônibus</t>
  </si>
  <si>
    <t>Uber Manu</t>
  </si>
  <si>
    <t>Aniversário da Manu</t>
  </si>
  <si>
    <t>Caroli Douces</t>
  </si>
  <si>
    <t>Bolo</t>
  </si>
  <si>
    <t>Aniversário Leo</t>
  </si>
  <si>
    <t>Aliexpress</t>
  </si>
  <si>
    <t>Gasolina</t>
  </si>
  <si>
    <t>Gatorade</t>
  </si>
  <si>
    <t>Sinal</t>
  </si>
  <si>
    <t>Dongle bluetooth</t>
  </si>
  <si>
    <t>Top Pizza</t>
  </si>
  <si>
    <t>Vinho</t>
  </si>
  <si>
    <t>Tim</t>
  </si>
  <si>
    <t>Cinema</t>
  </si>
  <si>
    <t>Essencia de pizza</t>
  </si>
  <si>
    <t>Passeio</t>
  </si>
  <si>
    <t>Aluguel armário</t>
  </si>
  <si>
    <t>Cordas Guitarra</t>
  </si>
  <si>
    <t>Barzinho Tamo Juto</t>
  </si>
  <si>
    <t>Consulta</t>
  </si>
  <si>
    <t>Flanelinha</t>
  </si>
  <si>
    <t>Lanche</t>
  </si>
  <si>
    <t>Remédio</t>
  </si>
  <si>
    <t>Mada 2022</t>
  </si>
  <si>
    <t>Sushi Urbano</t>
  </si>
  <si>
    <t>Spotify</t>
  </si>
  <si>
    <t>Pittsburg</t>
  </si>
  <si>
    <t>/</t>
  </si>
  <si>
    <t>Sanduiche</t>
  </si>
  <si>
    <t>Nordestão</t>
  </si>
  <si>
    <t>Roda do carro</t>
  </si>
  <si>
    <t>Amendoin</t>
  </si>
  <si>
    <t>Empréstimo - Pai ( Pg Tablet )</t>
  </si>
  <si>
    <t>Capa</t>
  </si>
  <si>
    <t>Sushi Moa</t>
  </si>
  <si>
    <t>Passagem Salvador</t>
  </si>
  <si>
    <t>Bexigas</t>
  </si>
  <si>
    <t>Açucar</t>
  </si>
  <si>
    <t>Jantar cuscuz</t>
  </si>
  <si>
    <t>Hostel</t>
  </si>
  <si>
    <t>ônibus</t>
  </si>
  <si>
    <t>Essência de pizza</t>
  </si>
  <si>
    <t>Trufa</t>
  </si>
  <si>
    <t>Restante SMG</t>
  </si>
  <si>
    <t>Slup</t>
  </si>
  <si>
    <t>Cabelo</t>
  </si>
  <si>
    <t>Cód. Origem</t>
  </si>
  <si>
    <t>Cód. Destino</t>
  </si>
  <si>
    <t>Pix</t>
  </si>
  <si>
    <t>Resgate</t>
  </si>
  <si>
    <t>Deposito</t>
  </si>
  <si>
    <t>Re. Emergência</t>
  </si>
  <si>
    <t>Depósito</t>
  </si>
  <si>
    <t>Reserva</t>
  </si>
  <si>
    <t>PIx</t>
  </si>
  <si>
    <t>Guardar Nu</t>
  </si>
  <si>
    <t>Retirar Nu</t>
  </si>
  <si>
    <t>Bahia</t>
  </si>
  <si>
    <t>Guardar</t>
  </si>
  <si>
    <t>Valores Gerais</t>
  </si>
  <si>
    <t>Para exportar</t>
  </si>
  <si>
    <t>Mensal</t>
  </si>
  <si>
    <t>Distribuição das compras</t>
  </si>
  <si>
    <t>Para importar</t>
  </si>
  <si>
    <t>Id</t>
  </si>
  <si>
    <t>Faturas Pagas</t>
  </si>
  <si>
    <t>Bônus de Adian.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</si>
</sst>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R$ -416]#,##0.00"/>
    <numFmt numFmtId="165" formatCode="_([$R$ -416]* #,##0.00_);_([$R$ -416]* \(#,##0.00\);_([$R$ -416]* &quot;-&quot;??_);_(@_)"/>
    <numFmt numFmtId="166" formatCode="dd/MM/yyyy"/>
    <numFmt numFmtId="167" formatCode="d&quot;/&quot;mmm"/>
    <numFmt numFmtId="168" formatCode="d/mmm"/>
    <numFmt numFmtId="169" formatCode="ddd&quot;, &quot;d&quot;/&quot;mmmm"/>
    <numFmt numFmtId="170" formatCode="dd/mm"/>
    <numFmt numFmtId="171" formatCode="dd/mm/yyyy"/>
    <numFmt numFmtId="172" formatCode="_([$R$ -416]* #,##0.00_);_([$R$ -416]* \(#,##0.00\);_([$R$ -416]* &quot;-&quot;??.0_);_(@_)"/>
    <numFmt numFmtId="173" formatCode="d/m"/>
  </numFmts>
  <fonts count="43">
    <font>
      <sz val="10.0"/>
      <color rgb="FF000000"/>
      <name val="Arial"/>
      <scheme val="minor"/>
    </font>
    <font>
      <b/>
      <sz val="18.0"/>
      <color theme="1"/>
      <name val="Roboto"/>
    </font>
    <font>
      <sz val="18.0"/>
      <color theme="1"/>
      <name val="Roboto"/>
    </font>
    <font>
      <color theme="1"/>
      <name val="Roboto"/>
    </font>
    <font>
      <sz val="18.0"/>
      <color rgb="FF3C4043"/>
      <name val="Roboto"/>
    </font>
    <font>
      <sz val="11.0"/>
      <color rgb="FF3C4043"/>
      <name val="Roboto"/>
    </font>
    <font>
      <color rgb="FFFFFFFF"/>
      <name val="Roboto"/>
    </font>
    <font/>
    <font>
      <sz val="10.0"/>
      <color rgb="FF3C4043"/>
      <name val="Roboto"/>
    </font>
    <font>
      <sz val="10.0"/>
      <color theme="1"/>
      <name val="Roboto"/>
    </font>
    <font>
      <sz val="10.0"/>
      <color rgb="FFFFFFFF"/>
      <name val="Roboto"/>
    </font>
    <font>
      <color theme="1"/>
      <name val="Arial"/>
      <scheme val="minor"/>
    </font>
    <font>
      <sz val="11.0"/>
      <color rgb="FF000000"/>
      <name val="Roboto"/>
    </font>
    <font>
      <sz val="11.0"/>
      <color rgb="FFF4B400"/>
      <name val="Inconsolata"/>
    </font>
    <font>
      <b/>
      <sz val="24.0"/>
      <color theme="1"/>
      <name val="Roboto"/>
    </font>
    <font>
      <b/>
      <color theme="1"/>
      <name val="Roboto"/>
    </font>
    <font>
      <b/>
      <color rgb="FFFFFFFF"/>
      <name val="Roboto"/>
    </font>
    <font>
      <b/>
      <sz val="11.0"/>
      <color rgb="FFFFFFFF"/>
      <name val="Roboto"/>
    </font>
    <font>
      <b/>
      <sz val="18.0"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Inconsolata"/>
    </font>
    <font>
      <b/>
      <sz val="11.0"/>
      <color theme="1"/>
      <name val="Inconsolata"/>
    </font>
    <font>
      <sz val="10.0"/>
      <color theme="1"/>
      <name val="Arial"/>
      <scheme val="minor"/>
    </font>
    <font>
      <b/>
      <sz val="10.0"/>
      <color rgb="FFFFFFFF"/>
      <name val="Roboto"/>
    </font>
    <font>
      <sz val="10.0"/>
      <color rgb="FFFFFFFF"/>
      <name val="Arial"/>
      <scheme val="minor"/>
    </font>
    <font>
      <b/>
      <sz val="10.0"/>
      <color rgb="FFFFFFFF"/>
      <name val="Arial"/>
      <scheme val="minor"/>
    </font>
    <font>
      <sz val="10.0"/>
      <color rgb="FFFFFFFF"/>
      <name val="Arial"/>
    </font>
    <font>
      <sz val="10.0"/>
      <color rgb="FF000000"/>
      <name val="Inconsolata"/>
    </font>
    <font>
      <b/>
      <sz val="10.0"/>
      <color theme="1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  <font>
      <color theme="1"/>
      <name val="Arial"/>
    </font>
    <font>
      <b/>
      <sz val="12.0"/>
      <color theme="1"/>
      <name val="Arial"/>
      <scheme val="minor"/>
    </font>
    <font>
      <sz val="10.0"/>
      <color theme="1"/>
      <name val="Arial"/>
    </font>
    <font>
      <b/>
      <sz val="10.0"/>
      <color rgb="FFFFFFFF"/>
      <name val="Arial"/>
    </font>
    <font>
      <sz val="11.0"/>
      <color rgb="FF7E3794"/>
      <name val="Inconsolata"/>
    </font>
    <font>
      <b/>
      <sz val="12.0"/>
      <color rgb="FFFFFFFF"/>
      <name val="Arial"/>
      <scheme val="minor"/>
    </font>
    <font>
      <b/>
      <sz val="10.0"/>
      <color theme="1"/>
      <name val="Roboto"/>
    </font>
    <font>
      <b/>
      <color rgb="FFFFFFFF"/>
      <name val="Arial"/>
    </font>
    <font>
      <b/>
      <color rgb="FFFFFFFF"/>
      <name val="Arial"/>
      <scheme val="minor"/>
    </font>
    <font>
      <sz val="11.0"/>
      <color theme="1"/>
      <name val="Inconsolata"/>
    </font>
    <font>
      <b/>
      <sz val="10.0"/>
      <color theme="1"/>
      <name val="Arial"/>
    </font>
    <font>
      <sz val="10.0"/>
      <color rgb="FF000000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674EA7"/>
        <bgColor rgb="FF674EA7"/>
      </patternFill>
    </fill>
    <fill>
      <patternFill patternType="solid">
        <fgColor rgb="FF351C75"/>
        <bgColor rgb="FF351C75"/>
      </patternFill>
    </fill>
    <fill>
      <patternFill patternType="solid">
        <fgColor rgb="FF63D297"/>
        <bgColor rgb="FF63D297"/>
      </patternFill>
    </fill>
    <fill>
      <patternFill patternType="solid">
        <fgColor rgb="FFE06666"/>
        <bgColor rgb="FFE06666"/>
      </patternFill>
    </fill>
    <fill>
      <patternFill patternType="solid">
        <fgColor rgb="FF8BC34A"/>
        <bgColor rgb="FF8BC34A"/>
      </patternFill>
    </fill>
    <fill>
      <patternFill patternType="solid">
        <fgColor rgb="FFA61C00"/>
        <bgColor rgb="FFA61C00"/>
      </patternFill>
    </fill>
    <fill>
      <patternFill patternType="solid">
        <fgColor theme="8"/>
        <bgColor theme="8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7CB4D"/>
        <bgColor rgb="FFF7CB4D"/>
      </patternFill>
    </fill>
    <fill>
      <patternFill patternType="solid">
        <fgColor rgb="FFBDBDBD"/>
        <bgColor rgb="FFBDBDBD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5B95F9"/>
        <bgColor rgb="FF5B95F9"/>
      </patternFill>
    </fill>
    <fill>
      <patternFill patternType="solid">
        <fgColor rgb="FF6AA84F"/>
        <bgColor rgb="FF6AA84F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2" fontId="4" numFmtId="0" xfId="0" applyAlignment="1" applyFill="1" applyFont="1">
      <alignment horizontal="left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1" fillId="3" fontId="6" numFmtId="0" xfId="0" applyAlignment="1" applyBorder="1" applyFill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4" fillId="3" fontId="6" numFmtId="0" xfId="0" applyAlignment="1" applyBorder="1" applyFont="1">
      <alignment horizontal="center" readingOrder="0"/>
    </xf>
    <xf borderId="5" fillId="0" fontId="7" numFmtId="0" xfId="0" applyBorder="1" applyFont="1"/>
    <xf borderId="6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7" fillId="3" fontId="6" numFmtId="0" xfId="0" applyBorder="1" applyFont="1"/>
    <xf borderId="7" fillId="3" fontId="6" numFmtId="0" xfId="0" applyAlignment="1" applyBorder="1" applyFont="1">
      <alignment horizontal="center" readingOrder="0"/>
    </xf>
    <xf borderId="7" fillId="3" fontId="6" numFmtId="0" xfId="0" applyAlignment="1" applyBorder="1" applyFont="1">
      <alignment horizontal="center"/>
    </xf>
    <xf borderId="8" fillId="3" fontId="6" numFmtId="0" xfId="0" applyAlignment="1" applyBorder="1" applyFont="1">
      <alignment readingOrder="0"/>
    </xf>
    <xf borderId="8" fillId="2" fontId="8" numFmtId="0" xfId="0" applyAlignment="1" applyBorder="1" applyFont="1">
      <alignment horizontal="left" readingOrder="0"/>
    </xf>
    <xf borderId="8" fillId="0" fontId="9" numFmtId="0" xfId="0" applyAlignment="1" applyBorder="1" applyFont="1">
      <alignment readingOrder="0"/>
    </xf>
    <xf borderId="0" fillId="0" fontId="9" numFmtId="0" xfId="0" applyFont="1"/>
    <xf borderId="9" fillId="3" fontId="10" numFmtId="0" xfId="0" applyAlignment="1" applyBorder="1" applyFont="1">
      <alignment readingOrder="0"/>
    </xf>
    <xf borderId="9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8" fillId="3" fontId="10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8" fillId="0" fontId="9" numFmtId="0" xfId="0" applyAlignment="1" applyBorder="1" applyFont="1">
      <alignment readingOrder="0"/>
    </xf>
    <xf borderId="6" fillId="0" fontId="9" numFmtId="0" xfId="0" applyBorder="1" applyFont="1"/>
    <xf borderId="8" fillId="0" fontId="9" numFmtId="0" xfId="0" applyBorder="1" applyFont="1"/>
    <xf borderId="0" fillId="0" fontId="11" numFmtId="0" xfId="0" applyAlignment="1" applyFont="1">
      <alignment readingOrder="0"/>
    </xf>
    <xf borderId="0" fillId="0" fontId="3" numFmtId="164" xfId="0" applyFont="1" applyNumberFormat="1"/>
    <xf borderId="0" fillId="2" fontId="12" numFmtId="0" xfId="0" applyAlignment="1" applyFont="1">
      <alignment horizontal="left" readingOrder="0"/>
    </xf>
    <xf borderId="0" fillId="2" fontId="13" numFmtId="0" xfId="0" applyFont="1"/>
    <xf borderId="10" fillId="3" fontId="6" numFmtId="0" xfId="0" applyAlignment="1" applyBorder="1" applyFont="1">
      <alignment readingOrder="0"/>
    </xf>
    <xf borderId="10" fillId="0" fontId="9" numFmtId="0" xfId="0" applyBorder="1" applyFont="1"/>
    <xf borderId="10" fillId="3" fontId="10" numFmtId="0" xfId="0" applyAlignment="1" applyBorder="1" applyFont="1">
      <alignment readingOrder="0"/>
    </xf>
    <xf borderId="11" fillId="0" fontId="9" numFmtId="0" xfId="0" applyBorder="1" applyFont="1"/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right" readingOrder="0"/>
    </xf>
    <xf borderId="0" fillId="4" fontId="6" numFmtId="0" xfId="0" applyAlignment="1" applyFill="1" applyFont="1">
      <alignment horizontal="left" readingOrder="0"/>
    </xf>
    <xf borderId="0" fillId="5" fontId="16" numFmtId="0" xfId="0" applyAlignment="1" applyFill="1" applyFont="1">
      <alignment horizontal="center"/>
    </xf>
    <xf borderId="4" fillId="5" fontId="16" numFmtId="0" xfId="0" applyAlignment="1" applyBorder="1" applyFont="1">
      <alignment horizontal="center"/>
    </xf>
    <xf borderId="5" fillId="5" fontId="16" numFmtId="0" xfId="0" applyAlignment="1" applyBorder="1" applyFont="1">
      <alignment horizontal="center"/>
    </xf>
    <xf borderId="12" fillId="5" fontId="16" numFmtId="0" xfId="0" applyAlignment="1" applyBorder="1" applyFont="1">
      <alignment horizontal="center"/>
    </xf>
    <xf borderId="0" fillId="4" fontId="6" numFmtId="0" xfId="0" applyAlignment="1" applyFont="1">
      <alignment horizontal="right" readingOrder="0"/>
    </xf>
    <xf borderId="1" fillId="0" fontId="6" numFmtId="164" xfId="0" applyAlignment="1" applyBorder="1" applyFont="1" applyNumberFormat="1">
      <alignment horizontal="center" readingOrder="0"/>
    </xf>
    <xf borderId="2" fillId="0" fontId="6" numFmtId="164" xfId="0" applyAlignment="1" applyBorder="1" applyFont="1" applyNumberFormat="1">
      <alignment horizontal="center" readingOrder="0"/>
    </xf>
    <xf borderId="3" fillId="0" fontId="6" numFmtId="164" xfId="0" applyAlignment="1" applyBorder="1" applyFont="1" applyNumberFormat="1">
      <alignment horizontal="center" readingOrder="0"/>
    </xf>
    <xf borderId="6" fillId="0" fontId="3" numFmtId="164" xfId="0" applyAlignment="1" applyBorder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 readingOrder="0"/>
    </xf>
    <xf borderId="13" fillId="0" fontId="3" numFmtId="164" xfId="0" applyAlignment="1" applyBorder="1" applyFont="1" applyNumberFormat="1">
      <alignment horizontal="center" readingOrder="0"/>
    </xf>
    <xf borderId="11" fillId="0" fontId="3" numFmtId="164" xfId="0" applyAlignment="1" applyBorder="1" applyFont="1" applyNumberFormat="1">
      <alignment horizontal="center"/>
    </xf>
    <xf borderId="14" fillId="0" fontId="3" numFmtId="164" xfId="0" applyAlignment="1" applyBorder="1" applyFont="1" applyNumberFormat="1">
      <alignment horizontal="center"/>
    </xf>
    <xf borderId="15" fillId="0" fontId="3" numFmtId="164" xfId="0" applyAlignment="1" applyBorder="1" applyFont="1" applyNumberFormat="1">
      <alignment horizontal="center"/>
    </xf>
    <xf borderId="0" fillId="5" fontId="16" numFmtId="0" xfId="0" applyAlignment="1" applyFont="1">
      <alignment horizontal="center" readingOrder="0"/>
    </xf>
    <xf borderId="0" fillId="5" fontId="17" numFmtId="0" xfId="0" applyAlignment="1" applyFont="1">
      <alignment horizontal="center"/>
    </xf>
    <xf borderId="1" fillId="4" fontId="6" numFmtId="164" xfId="0" applyAlignment="1" applyBorder="1" applyFont="1" applyNumberFormat="1">
      <alignment horizontal="center" readingOrder="0"/>
    </xf>
    <xf borderId="2" fillId="4" fontId="6" numFmtId="164" xfId="0" applyAlignment="1" applyBorder="1" applyFont="1" applyNumberFormat="1">
      <alignment horizontal="center" readingOrder="0"/>
    </xf>
    <xf borderId="3" fillId="4" fontId="6" numFmtId="164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readingOrder="0"/>
    </xf>
    <xf borderId="2" fillId="0" fontId="3" numFmtId="165" xfId="0" applyAlignment="1" applyBorder="1" applyFont="1" applyNumberFormat="1">
      <alignment readingOrder="0"/>
    </xf>
    <xf borderId="2" fillId="0" fontId="3" numFmtId="165" xfId="0" applyBorder="1" applyFont="1" applyNumberFormat="1"/>
    <xf borderId="3" fillId="0" fontId="3" numFmtId="165" xfId="0" applyBorder="1" applyFont="1" applyNumberFormat="1"/>
    <xf borderId="6" fillId="0" fontId="3" numFmtId="165" xfId="0" applyBorder="1" applyFont="1" applyNumberFormat="1"/>
    <xf borderId="0" fillId="0" fontId="3" numFmtId="165" xfId="0" applyFont="1" applyNumberFormat="1"/>
    <xf borderId="13" fillId="0" fontId="3" numFmtId="165" xfId="0" applyBorder="1" applyFont="1" applyNumberFormat="1"/>
    <xf borderId="6" fillId="0" fontId="3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readingOrder="0"/>
    </xf>
    <xf borderId="11" fillId="0" fontId="3" numFmtId="10" xfId="0" applyBorder="1" applyFont="1" applyNumberFormat="1"/>
    <xf borderId="14" fillId="0" fontId="3" numFmtId="10" xfId="0" applyBorder="1" applyFont="1" applyNumberFormat="1"/>
    <xf borderId="15" fillId="0" fontId="3" numFmtId="10" xfId="0" applyBorder="1" applyFont="1" applyNumberFormat="1"/>
    <xf borderId="0" fillId="2" fontId="12" numFmtId="0" xfId="0" applyAlignment="1" applyFont="1">
      <alignment horizontal="left"/>
    </xf>
    <xf borderId="0" fillId="0" fontId="18" numFmtId="0" xfId="0" applyAlignment="1" applyFont="1">
      <alignment horizontal="center" readingOrder="0"/>
    </xf>
    <xf borderId="1" fillId="0" fontId="19" numFmtId="0" xfId="0" applyAlignment="1" applyBorder="1" applyFont="1">
      <alignment horizontal="center" readingOrder="0" vertical="center"/>
    </xf>
    <xf borderId="0" fillId="0" fontId="19" numFmtId="0" xfId="0" applyAlignment="1" applyFont="1">
      <alignment horizontal="center"/>
    </xf>
    <xf borderId="9" fillId="0" fontId="19" numFmtId="0" xfId="0" applyAlignment="1" applyBorder="1" applyFont="1">
      <alignment horizontal="center" readingOrder="0" vertical="center"/>
    </xf>
    <xf borderId="7" fillId="0" fontId="19" numFmtId="0" xfId="0" applyAlignment="1" applyBorder="1" applyFont="1">
      <alignment horizontal="center" readingOrder="0"/>
    </xf>
    <xf borderId="7" fillId="0" fontId="19" numFmtId="164" xfId="0" applyAlignment="1" applyBorder="1" applyFont="1" applyNumberFormat="1">
      <alignment horizontal="center" readingOrder="0"/>
    </xf>
    <xf borderId="0" fillId="0" fontId="11" numFmtId="164" xfId="0" applyAlignment="1" applyFont="1" applyNumberFormat="1">
      <alignment horizontal="center"/>
    </xf>
    <xf borderId="8" fillId="6" fontId="19" numFmtId="0" xfId="0" applyAlignment="1" applyBorder="1" applyFill="1" applyFont="1">
      <alignment horizontal="center" readingOrder="0" vertical="center"/>
    </xf>
    <xf borderId="0" fillId="2" fontId="20" numFmtId="164" xfId="0" applyAlignment="1" applyFont="1" applyNumberFormat="1">
      <alignment readingOrder="0"/>
    </xf>
    <xf borderId="13" fillId="2" fontId="20" numFmtId="164" xfId="0" applyAlignment="1" applyBorder="1" applyFont="1" applyNumberFormat="1">
      <alignment readingOrder="0"/>
    </xf>
    <xf borderId="0" fillId="2" fontId="20" numFmtId="0" xfId="0" applyAlignment="1" applyFont="1">
      <alignment readingOrder="0"/>
    </xf>
    <xf borderId="8" fillId="6" fontId="19" numFmtId="0" xfId="0" applyBorder="1" applyFont="1"/>
    <xf borderId="0" fillId="0" fontId="19" numFmtId="0" xfId="0" applyAlignment="1" applyFont="1">
      <alignment horizontal="center" readingOrder="0"/>
    </xf>
    <xf borderId="10" fillId="6" fontId="19" numFmtId="0" xfId="0" applyAlignment="1" applyBorder="1" applyFont="1">
      <alignment horizontal="center" readingOrder="0" vertical="center"/>
    </xf>
    <xf borderId="7" fillId="0" fontId="19" numFmtId="0" xfId="0" applyAlignment="1" applyBorder="1" applyFont="1">
      <alignment horizontal="center" readingOrder="0" vertical="center"/>
    </xf>
    <xf borderId="7" fillId="0" fontId="19" numFmtId="164" xfId="0" applyAlignment="1" applyBorder="1" applyFont="1" applyNumberFormat="1">
      <alignment horizontal="center"/>
    </xf>
    <xf borderId="0" fillId="0" fontId="19" numFmtId="0" xfId="0" applyAlignment="1" applyFont="1">
      <alignment horizontal="center" readingOrder="0" vertical="center"/>
    </xf>
    <xf borderId="0" fillId="0" fontId="11" numFmtId="164" xfId="0" applyAlignment="1" applyFont="1" applyNumberFormat="1">
      <alignment horizontal="center" readingOrder="0"/>
    </xf>
    <xf borderId="9" fillId="7" fontId="19" numFmtId="0" xfId="0" applyAlignment="1" applyBorder="1" applyFill="1" applyFont="1">
      <alignment horizontal="center" readingOrder="0" vertical="center"/>
    </xf>
    <xf borderId="7" fillId="7" fontId="19" numFmtId="0" xfId="0" applyAlignment="1" applyBorder="1" applyFont="1">
      <alignment horizontal="center" readingOrder="0"/>
    </xf>
    <xf borderId="7" fillId="7" fontId="19" numFmtId="164" xfId="0" applyAlignment="1" applyBorder="1" applyFont="1" applyNumberFormat="1">
      <alignment horizontal="center" readingOrder="0"/>
    </xf>
    <xf borderId="8" fillId="7" fontId="19" numFmtId="0" xfId="0" applyAlignment="1" applyBorder="1" applyFont="1">
      <alignment horizontal="center" readingOrder="0" vertical="center"/>
    </xf>
    <xf borderId="1" fillId="2" fontId="20" numFmtId="164" xfId="0" applyAlignment="1" applyBorder="1" applyFont="1" applyNumberFormat="1">
      <alignment readingOrder="0"/>
    </xf>
    <xf borderId="2" fillId="2" fontId="20" numFmtId="164" xfId="0" applyAlignment="1" applyBorder="1" applyFont="1" applyNumberFormat="1">
      <alignment readingOrder="0"/>
    </xf>
    <xf borderId="6" fillId="2" fontId="20" numFmtId="164" xfId="0" applyAlignment="1" applyBorder="1" applyFont="1" applyNumberFormat="1">
      <alignment readingOrder="0"/>
    </xf>
    <xf borderId="8" fillId="7" fontId="19" numFmtId="0" xfId="0" applyAlignment="1" applyBorder="1" applyFont="1">
      <alignment horizontal="center"/>
    </xf>
    <xf borderId="10" fillId="7" fontId="19" numFmtId="0" xfId="0" applyAlignment="1" applyBorder="1" applyFont="1">
      <alignment horizontal="center" readingOrder="0" vertical="center"/>
    </xf>
    <xf borderId="11" fillId="2" fontId="20" numFmtId="164" xfId="0" applyAlignment="1" applyBorder="1" applyFont="1" applyNumberFormat="1">
      <alignment readingOrder="0"/>
    </xf>
    <xf borderId="14" fillId="2" fontId="20" numFmtId="164" xfId="0" applyAlignment="1" applyBorder="1" applyFont="1" applyNumberFormat="1">
      <alignment readingOrder="0"/>
    </xf>
    <xf borderId="15" fillId="2" fontId="20" numFmtId="164" xfId="0" applyAlignment="1" applyBorder="1" applyFont="1" applyNumberFormat="1">
      <alignment readingOrder="0"/>
    </xf>
    <xf borderId="7" fillId="7" fontId="19" numFmtId="0" xfId="0" applyAlignment="1" applyBorder="1" applyFont="1">
      <alignment horizontal="center" readingOrder="0" vertical="center"/>
    </xf>
    <xf borderId="7" fillId="7" fontId="19" numFmtId="164" xfId="0" applyAlignment="1" applyBorder="1" applyFont="1" applyNumberFormat="1">
      <alignment horizontal="center"/>
    </xf>
    <xf borderId="0" fillId="0" fontId="19" numFmtId="49" xfId="0" applyAlignment="1" applyFont="1" applyNumberFormat="1">
      <alignment horizontal="center" readingOrder="0"/>
    </xf>
    <xf borderId="0" fillId="0" fontId="19" numFmtId="166" xfId="0" applyAlignment="1" applyFont="1" applyNumberFormat="1">
      <alignment horizontal="center" readingOrder="0"/>
    </xf>
    <xf borderId="0" fillId="0" fontId="20" numFmtId="164" xfId="0" applyAlignment="1" applyFont="1" applyNumberFormat="1">
      <alignment readingOrder="0"/>
    </xf>
    <xf borderId="0" fillId="0" fontId="21" numFmtId="166" xfId="0" applyAlignment="1" applyFont="1" applyNumberFormat="1">
      <alignment horizontal="center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0" fillId="0" fontId="25" numFmtId="0" xfId="0" applyAlignment="1" applyFont="1">
      <alignment horizontal="center"/>
    </xf>
    <xf borderId="0" fillId="0" fontId="22" numFmtId="0" xfId="0" applyFont="1"/>
    <xf borderId="0" fillId="0" fontId="25" numFmtId="0" xfId="0" applyAlignment="1" applyFont="1">
      <alignment horizontal="center" readingOrder="0"/>
    </xf>
    <xf borderId="0" fillId="0" fontId="26" numFmtId="0" xfId="0" applyAlignment="1" applyFont="1">
      <alignment horizontal="right" readingOrder="0"/>
    </xf>
    <xf borderId="0" fillId="0" fontId="27" numFmtId="0" xfId="0" applyAlignment="1" applyFont="1">
      <alignment horizontal="center"/>
    </xf>
    <xf borderId="0" fillId="0" fontId="22" numFmtId="0" xfId="0" applyAlignment="1" applyFont="1">
      <alignment horizontal="left"/>
    </xf>
    <xf borderId="0" fillId="0" fontId="22" numFmtId="0" xfId="0" applyAlignment="1" applyFont="1">
      <alignment horizontal="left" readingOrder="0"/>
    </xf>
    <xf borderId="0" fillId="0" fontId="24" numFmtId="0" xfId="0" applyAlignment="1" applyFont="1">
      <alignment horizontal="right" readingOrder="0"/>
    </xf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horizontal="left"/>
    </xf>
    <xf borderId="0" fillId="0" fontId="27" numFmtId="0" xfId="0" applyFont="1"/>
    <xf borderId="0" fillId="0" fontId="11" numFmtId="0" xfId="0" applyFont="1"/>
    <xf borderId="4" fillId="3" fontId="25" numFmtId="0" xfId="0" applyAlignment="1" applyBorder="1" applyFont="1">
      <alignment horizontal="center" readingOrder="0" vertical="center"/>
    </xf>
    <xf borderId="4" fillId="3" fontId="25" numFmtId="0" xfId="0" applyAlignment="1" applyBorder="1" applyFont="1">
      <alignment horizontal="center" readingOrder="0"/>
    </xf>
    <xf borderId="9" fillId="3" fontId="26" numFmtId="165" xfId="0" applyAlignment="1" applyBorder="1" applyFont="1" applyNumberFormat="1">
      <alignment horizontal="center" readingOrder="0" vertical="center"/>
    </xf>
    <xf borderId="7" fillId="0" fontId="26" numFmtId="165" xfId="0" applyAlignment="1" applyBorder="1" applyFont="1" applyNumberFormat="1">
      <alignment horizontal="right" readingOrder="0" vertical="bottom"/>
    </xf>
    <xf borderId="7" fillId="0" fontId="24" numFmtId="0" xfId="0" applyAlignment="1" applyBorder="1" applyFont="1">
      <alignment readingOrder="0"/>
    </xf>
    <xf borderId="9" fillId="3" fontId="25" numFmtId="0" xfId="0" applyAlignment="1" applyBorder="1" applyFont="1">
      <alignment horizontal="center" readingOrder="0" vertical="center"/>
    </xf>
    <xf borderId="4" fillId="3" fontId="23" numFmtId="0" xfId="0" applyAlignment="1" applyBorder="1" applyFont="1">
      <alignment horizontal="center" readingOrder="0"/>
    </xf>
    <xf borderId="8" fillId="0" fontId="7" numFmtId="0" xfId="0" applyBorder="1" applyFont="1"/>
    <xf borderId="7" fillId="0" fontId="28" numFmtId="0" xfId="0" applyAlignment="1" applyBorder="1" applyFont="1">
      <alignment horizontal="right" readingOrder="0"/>
    </xf>
    <xf borderId="7" fillId="0" fontId="22" numFmtId="0" xfId="0" applyAlignment="1" applyBorder="1" applyFont="1">
      <alignment readingOrder="0"/>
    </xf>
    <xf borderId="7" fillId="0" fontId="22" numFmtId="0" xfId="0" applyAlignment="1" applyBorder="1" applyFont="1">
      <alignment horizontal="left" readingOrder="0"/>
    </xf>
    <xf borderId="7" fillId="0" fontId="22" numFmtId="0" xfId="0" applyBorder="1" applyFont="1"/>
    <xf borderId="7" fillId="0" fontId="28" numFmtId="0" xfId="0" applyAlignment="1" applyBorder="1" applyFont="1">
      <alignment horizontal="right"/>
    </xf>
    <xf borderId="7" fillId="0" fontId="28" numFmtId="0" xfId="0" applyBorder="1" applyFont="1"/>
    <xf borderId="7" fillId="0" fontId="22" numFmtId="0" xfId="0" applyAlignment="1" applyBorder="1" applyFont="1">
      <alignment horizontal="left"/>
    </xf>
    <xf borderId="4" fillId="3" fontId="25" numFmtId="0" xfId="0" applyAlignment="1" applyBorder="1" applyFont="1">
      <alignment horizontal="center"/>
    </xf>
    <xf borderId="4" fillId="3" fontId="24" numFmtId="0" xfId="0" applyAlignment="1" applyBorder="1" applyFont="1">
      <alignment horizontal="center"/>
    </xf>
    <xf borderId="0" fillId="0" fontId="22" numFmtId="0" xfId="0" applyAlignment="1" applyFont="1">
      <alignment readingOrder="0"/>
    </xf>
    <xf borderId="7" fillId="0" fontId="11" numFmtId="0" xfId="0" applyBorder="1" applyFont="1"/>
    <xf borderId="7" fillId="0" fontId="11" numFmtId="0" xfId="0" applyAlignment="1" applyBorder="1" applyFont="1">
      <alignment horizontal="right"/>
    </xf>
    <xf borderId="7" fillId="0" fontId="11" numFmtId="0" xfId="0" applyAlignment="1" applyBorder="1" applyFont="1">
      <alignment horizontal="left"/>
    </xf>
    <xf borderId="7" fillId="0" fontId="22" numFmtId="0" xfId="0" applyAlignment="1" applyBorder="1" applyFont="1">
      <alignment horizontal="right"/>
    </xf>
    <xf borderId="10" fillId="0" fontId="7" numFmtId="0" xfId="0" applyBorder="1" applyFont="1"/>
    <xf borderId="4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7" fillId="8" fontId="29" numFmtId="0" xfId="0" applyAlignment="1" applyBorder="1" applyFill="1" applyFont="1">
      <alignment horizontal="center" readingOrder="0"/>
    </xf>
    <xf borderId="9" fillId="9" fontId="29" numFmtId="0" xfId="0" applyAlignment="1" applyBorder="1" applyFill="1" applyFont="1">
      <alignment horizontal="center" readingOrder="0"/>
    </xf>
    <xf borderId="3" fillId="9" fontId="29" numFmtId="0" xfId="0" applyAlignment="1" applyBorder="1" applyFont="1">
      <alignment horizontal="center" readingOrder="0"/>
    </xf>
    <xf borderId="1" fillId="9" fontId="29" numFmtId="0" xfId="0" applyAlignment="1" applyBorder="1" applyFont="1">
      <alignment horizontal="center" readingOrder="0"/>
    </xf>
    <xf borderId="7" fillId="9" fontId="29" numFmtId="0" xfId="0" applyAlignment="1" applyBorder="1" applyFont="1">
      <alignment horizontal="center" readingOrder="0"/>
    </xf>
    <xf borderId="0" fillId="0" fontId="29" numFmtId="0" xfId="0" applyAlignment="1" applyFont="1">
      <alignment horizontal="center" readingOrder="0"/>
    </xf>
    <xf borderId="9" fillId="8" fontId="29" numFmtId="0" xfId="0" applyAlignment="1" applyBorder="1" applyFont="1">
      <alignment horizontal="center" readingOrder="0" textRotation="0" vertical="center"/>
    </xf>
    <xf borderId="1" fillId="0" fontId="30" numFmtId="0" xfId="0" applyAlignment="1" applyBorder="1" applyFont="1">
      <alignment horizontal="center" readingOrder="0"/>
    </xf>
    <xf borderId="0" fillId="0" fontId="11" numFmtId="166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1" numFmtId="164" xfId="0" applyAlignment="1" applyFont="1" applyNumberFormat="1">
      <alignment horizontal="right" readingOrder="0"/>
    </xf>
    <xf borderId="2" fillId="0" fontId="11" numFmtId="0" xfId="0" applyAlignment="1" applyBorder="1" applyFont="1">
      <alignment horizontal="center" readingOrder="0"/>
    </xf>
    <xf borderId="13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0" fillId="0" fontId="11" numFmtId="164" xfId="0" applyAlignment="1" applyFont="1" applyNumberFormat="1">
      <alignment readingOrder="0"/>
    </xf>
    <xf borderId="0" fillId="0" fontId="29" numFmtId="0" xfId="0" applyAlignment="1" applyFont="1">
      <alignment horizontal="right" readingOrder="0"/>
    </xf>
    <xf borderId="8" fillId="8" fontId="29" numFmtId="0" xfId="0" applyAlignment="1" applyBorder="1" applyFont="1">
      <alignment horizontal="center" readingOrder="0" textRotation="0" vertical="center"/>
    </xf>
    <xf borderId="6" fillId="0" fontId="30" numFmtId="0" xfId="0" applyAlignment="1" applyBorder="1" applyFont="1">
      <alignment horizontal="center" readingOrder="0"/>
    </xf>
    <xf borderId="0" fillId="0" fontId="11" numFmtId="166" xfId="0" applyAlignment="1" applyFont="1" applyNumberFormat="1">
      <alignment readingOrder="0"/>
    </xf>
    <xf borderId="0" fillId="0" fontId="11" numFmtId="164" xfId="0" applyAlignment="1" applyFont="1" applyNumberFormat="1">
      <alignment horizontal="right" readingOrder="0"/>
    </xf>
    <xf borderId="0" fillId="0" fontId="11" numFmtId="0" xfId="0" applyAlignment="1" applyFont="1">
      <alignment horizontal="center" readingOrder="0"/>
    </xf>
    <xf borderId="0" fillId="0" fontId="31" numFmtId="167" xfId="0" applyAlignment="1" applyFont="1" applyNumberFormat="1">
      <alignment horizontal="right" vertical="bottom"/>
    </xf>
    <xf borderId="0" fillId="0" fontId="31" numFmtId="0" xfId="0" applyAlignment="1" applyFont="1">
      <alignment vertical="bottom"/>
    </xf>
    <xf borderId="0" fillId="0" fontId="31" numFmtId="164" xfId="0" applyAlignment="1" applyFont="1" applyNumberFormat="1">
      <alignment horizontal="right" vertical="bottom"/>
    </xf>
    <xf borderId="0" fillId="0" fontId="31" numFmtId="164" xfId="0" applyAlignment="1" applyFont="1" applyNumberFormat="1">
      <alignment vertical="bottom"/>
    </xf>
    <xf borderId="0" fillId="0" fontId="31" numFmtId="0" xfId="0" applyAlignment="1" applyFont="1">
      <alignment vertical="bottom"/>
    </xf>
    <xf borderId="0" fillId="0" fontId="11" numFmtId="0" xfId="0" applyAlignment="1" applyFont="1">
      <alignment horizontal="right" readingOrder="0"/>
    </xf>
    <xf borderId="13" fillId="0" fontId="11" numFmtId="0" xfId="0" applyAlignment="1" applyBorder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0" fillId="0" fontId="11" numFmtId="0" xfId="0" applyAlignment="1" applyFont="1">
      <alignment readingOrder="0"/>
    </xf>
    <xf borderId="0" fillId="0" fontId="11" numFmtId="164" xfId="0" applyFont="1" applyNumberFormat="1"/>
    <xf borderId="0" fillId="0" fontId="30" numFmtId="166" xfId="0" applyAlignment="1" applyFont="1" applyNumberFormat="1">
      <alignment readingOrder="0"/>
    </xf>
    <xf borderId="0" fillId="0" fontId="30" numFmtId="0" xfId="0" applyAlignment="1" applyFont="1">
      <alignment readingOrder="0"/>
    </xf>
    <xf borderId="0" fillId="0" fontId="30" numFmtId="164" xfId="0" applyAlignment="1" applyFont="1" applyNumberFormat="1">
      <alignment horizontal="right" readingOrder="0"/>
    </xf>
    <xf borderId="0" fillId="0" fontId="11" numFmtId="167" xfId="0" applyAlignment="1" applyFont="1" applyNumberFormat="1">
      <alignment readingOrder="0"/>
    </xf>
    <xf borderId="0" fillId="0" fontId="11" numFmtId="168" xfId="0" applyAlignment="1" applyFont="1" applyNumberFormat="1">
      <alignment readingOrder="0"/>
    </xf>
    <xf borderId="10" fillId="8" fontId="29" numFmtId="0" xfId="0" applyAlignment="1" applyBorder="1" applyFont="1">
      <alignment horizontal="center" readingOrder="0" textRotation="0" vertical="center"/>
    </xf>
    <xf borderId="15" fillId="0" fontId="11" numFmtId="0" xfId="0" applyAlignment="1" applyBorder="1" applyFont="1">
      <alignment horizontal="center" readingOrder="0"/>
    </xf>
    <xf borderId="0" fillId="0" fontId="11" numFmtId="168" xfId="0" applyAlignment="1" applyFont="1" applyNumberFormat="1">
      <alignment horizontal="right" readingOrder="0"/>
    </xf>
    <xf borderId="2" fillId="0" fontId="29" numFmtId="0" xfId="0" applyAlignment="1" applyBorder="1" applyFont="1">
      <alignment horizontal="right" readingOrder="0"/>
    </xf>
    <xf borderId="2" fillId="0" fontId="30" numFmtId="166" xfId="0" applyAlignment="1" applyBorder="1" applyFont="1" applyNumberFormat="1">
      <alignment readingOrder="0"/>
    </xf>
    <xf borderId="2" fillId="0" fontId="30" numFmtId="0" xfId="0" applyAlignment="1" applyBorder="1" applyFont="1">
      <alignment readingOrder="0"/>
    </xf>
    <xf borderId="2" fillId="0" fontId="30" numFmtId="164" xfId="0" applyAlignment="1" applyBorder="1" applyFont="1" applyNumberFormat="1">
      <alignment horizontal="right" readingOrder="0"/>
    </xf>
    <xf borderId="3" fillId="0" fontId="11" numFmtId="0" xfId="0" applyAlignment="1" applyBorder="1" applyFont="1">
      <alignment horizontal="center" readingOrder="0"/>
    </xf>
    <xf borderId="0" fillId="0" fontId="11" numFmtId="168" xfId="0" applyAlignment="1" applyFont="1" applyNumberFormat="1">
      <alignment horizontal="center" readingOrder="0"/>
    </xf>
    <xf borderId="11" fillId="0" fontId="30" numFmtId="0" xfId="0" applyAlignment="1" applyBorder="1" applyFont="1">
      <alignment horizontal="center" readingOrder="0"/>
    </xf>
    <xf borderId="14" fillId="0" fontId="30" numFmtId="166" xfId="0" applyAlignment="1" applyBorder="1" applyFont="1" applyNumberFormat="1">
      <alignment readingOrder="0"/>
    </xf>
    <xf borderId="14" fillId="0" fontId="30" numFmtId="0" xfId="0" applyAlignment="1" applyBorder="1" applyFont="1">
      <alignment readingOrder="0"/>
    </xf>
    <xf borderId="14" fillId="0" fontId="30" numFmtId="164" xfId="0" applyAlignment="1" applyBorder="1" applyFont="1" applyNumberFormat="1">
      <alignment horizontal="right" readingOrder="0"/>
    </xf>
    <xf borderId="14" fillId="0" fontId="11" numFmtId="0" xfId="0" applyAlignment="1" applyBorder="1" applyFont="1">
      <alignment horizontal="center" readingOrder="0"/>
    </xf>
    <xf borderId="0" fillId="0" fontId="30" numFmtId="0" xfId="0" applyAlignment="1" applyFont="1">
      <alignment horizontal="center" readingOrder="0"/>
    </xf>
    <xf borderId="0" fillId="0" fontId="30" numFmtId="169" xfId="0" applyAlignment="1" applyFont="1" applyNumberFormat="1">
      <alignment readingOrder="0"/>
    </xf>
    <xf borderId="0" fillId="0" fontId="30" numFmtId="0" xfId="0" applyAlignment="1" applyFont="1">
      <alignment readingOrder="0"/>
    </xf>
    <xf borderId="0" fillId="0" fontId="30" numFmtId="164" xfId="0" applyAlignment="1" applyFont="1" applyNumberFormat="1">
      <alignment horizontal="right" readingOrder="0"/>
    </xf>
    <xf borderId="2" fillId="0" fontId="30" numFmtId="164" xfId="0" applyAlignment="1" applyBorder="1" applyFont="1" applyNumberFormat="1">
      <alignment horizontal="right" readingOrder="0"/>
    </xf>
    <xf borderId="0" fillId="0" fontId="11" numFmtId="170" xfId="0" applyAlignment="1" applyFont="1" applyNumberFormat="1">
      <alignment horizontal="right" readingOrder="0"/>
    </xf>
    <xf borderId="0" fillId="0" fontId="30" numFmtId="164" xfId="0" applyAlignment="1" applyFont="1" applyNumberFormat="1">
      <alignment horizontal="right" readingOrder="0"/>
    </xf>
    <xf borderId="0" fillId="0" fontId="30" numFmtId="171" xfId="0" applyAlignment="1" applyFont="1" applyNumberFormat="1">
      <alignment readingOrder="0"/>
    </xf>
    <xf borderId="0" fillId="0" fontId="11" numFmtId="0" xfId="0" applyAlignment="1" applyFont="1">
      <alignment horizontal="right"/>
    </xf>
    <xf borderId="2" fillId="0" fontId="30" numFmtId="0" xfId="0" applyAlignment="1" applyBorder="1" applyFont="1">
      <alignment horizontal="center" readingOrder="0"/>
    </xf>
    <xf borderId="0" fillId="0" fontId="30" numFmtId="0" xfId="0" applyAlignment="1" applyFont="1">
      <alignment horizontal="center" readingOrder="0"/>
    </xf>
    <xf borderId="14" fillId="0" fontId="30" numFmtId="0" xfId="0" applyAlignment="1" applyBorder="1" applyFont="1">
      <alignment horizontal="center" readingOrder="0"/>
    </xf>
    <xf borderId="4" fillId="0" fontId="22" numFmtId="0" xfId="0" applyAlignment="1" applyBorder="1" applyFont="1">
      <alignment horizontal="center" readingOrder="0"/>
    </xf>
    <xf borderId="0" fillId="0" fontId="33" numFmtId="167" xfId="0" applyAlignment="1" applyFont="1" applyNumberFormat="1">
      <alignment horizontal="right" vertical="bottom"/>
    </xf>
    <xf borderId="0" fillId="0" fontId="33" numFmtId="0" xfId="0" applyAlignment="1" applyFont="1">
      <alignment horizontal="center" readingOrder="0" vertical="bottom"/>
    </xf>
    <xf borderId="7" fillId="9" fontId="24" numFmtId="0" xfId="0" applyAlignment="1" applyBorder="1" applyFont="1">
      <alignment horizontal="center" readingOrder="0"/>
    </xf>
    <xf borderId="7" fillId="0" fontId="34" numFmtId="0" xfId="0" applyAlignment="1" applyBorder="1" applyFont="1">
      <alignment horizontal="center" readingOrder="0" vertical="bottom"/>
    </xf>
    <xf borderId="7" fillId="0" fontId="34" numFmtId="3" xfId="0" applyAlignment="1" applyBorder="1" applyFont="1" applyNumberFormat="1">
      <alignment horizontal="center" readingOrder="0" vertical="bottom"/>
    </xf>
    <xf borderId="7" fillId="0" fontId="34" numFmtId="164" xfId="0" applyAlignment="1" applyBorder="1" applyFont="1" applyNumberFormat="1">
      <alignment horizontal="center" readingOrder="0" vertical="bottom"/>
    </xf>
    <xf borderId="7" fillId="0" fontId="25" numFmtId="0" xfId="0" applyAlignment="1" applyBorder="1" applyFont="1">
      <alignment horizontal="center" readingOrder="0"/>
    </xf>
    <xf borderId="9" fillId="9" fontId="24" numFmtId="0" xfId="0" applyAlignment="1" applyBorder="1" applyFont="1">
      <alignment horizontal="center" readingOrder="0" textRotation="0" vertical="center"/>
    </xf>
    <xf borderId="1" fillId="0" fontId="0" numFmtId="0" xfId="0" applyAlignment="1" applyBorder="1" applyFont="1">
      <alignment horizontal="center" readingOrder="0"/>
    </xf>
    <xf borderId="2" fillId="0" fontId="0" numFmtId="166" xfId="0" applyAlignment="1" applyBorder="1" applyFont="1" applyNumberFormat="1">
      <alignment readingOrder="0"/>
    </xf>
    <xf borderId="2" fillId="0" fontId="0" numFmtId="0" xfId="0" applyAlignment="1" applyBorder="1" applyFont="1">
      <alignment readingOrder="0"/>
    </xf>
    <xf borderId="0" fillId="0" fontId="33" numFmtId="172" xfId="0" applyAlignment="1" applyFont="1" applyNumberFormat="1">
      <alignment horizontal="right" readingOrder="0" vertical="bottom"/>
    </xf>
    <xf borderId="2" fillId="0" fontId="22" numFmtId="0" xfId="0" applyAlignment="1" applyBorder="1" applyFont="1">
      <alignment horizontal="center" readingOrder="0"/>
    </xf>
    <xf borderId="0" fillId="0" fontId="22" numFmtId="0" xfId="0" applyAlignment="1" applyFont="1">
      <alignment horizontal="center" readingOrder="0"/>
    </xf>
    <xf borderId="3" fillId="2" fontId="33" numFmtId="0" xfId="0" applyAlignment="1" applyBorder="1" applyFont="1">
      <alignment vertical="bottom"/>
    </xf>
    <xf borderId="0" fillId="0" fontId="22" numFmtId="173" xfId="0" applyAlignment="1" applyFont="1" applyNumberFormat="1">
      <alignment horizontal="center" readingOrder="0"/>
    </xf>
    <xf borderId="9" fillId="10" fontId="24" numFmtId="0" xfId="0" applyAlignment="1" applyBorder="1" applyFill="1" applyFont="1">
      <alignment horizontal="center" readingOrder="0" textRotation="0" vertical="center"/>
    </xf>
    <xf borderId="0" fillId="0" fontId="22" numFmtId="3" xfId="0" applyAlignment="1" applyFont="1" applyNumberFormat="1">
      <alignment horizontal="right" readingOrder="0"/>
    </xf>
    <xf borderId="0" fillId="0" fontId="22" numFmtId="166" xfId="0" applyAlignment="1" applyFont="1" applyNumberFormat="1">
      <alignment horizontal="right" readingOrder="0"/>
    </xf>
    <xf borderId="0" fillId="0" fontId="22" numFmtId="0" xfId="0" applyAlignment="1" applyFont="1">
      <alignment readingOrder="0"/>
    </xf>
    <xf borderId="0" fillId="0" fontId="22" numFmtId="164" xfId="0" applyAlignment="1" applyFont="1" applyNumberFormat="1">
      <alignment horizontal="center" readingOrder="0"/>
    </xf>
    <xf borderId="0" fillId="0" fontId="22" numFmtId="3" xfId="0" applyAlignment="1" applyFont="1" applyNumberFormat="1">
      <alignment horizontal="center" readingOrder="0"/>
    </xf>
    <xf borderId="0" fillId="11" fontId="22" numFmtId="164" xfId="0" applyAlignment="1" applyFill="1" applyFont="1" applyNumberFormat="1">
      <alignment horizontal="center" readingOrder="0"/>
    </xf>
    <xf borderId="13" fillId="0" fontId="22" numFmtId="0" xfId="0" applyAlignment="1" applyBorder="1" applyFont="1">
      <alignment horizontal="center" readingOrder="0"/>
    </xf>
    <xf borderId="8" fillId="9" fontId="24" numFmtId="0" xfId="0" applyAlignment="1" applyBorder="1" applyFont="1">
      <alignment horizontal="center" readingOrder="0" textRotation="0" vertical="center"/>
    </xf>
    <xf borderId="6" fillId="0" fontId="0" numFmtId="0" xfId="0" applyAlignment="1" applyBorder="1" applyFont="1">
      <alignment horizontal="center" readingOrder="0"/>
    </xf>
    <xf borderId="0" fillId="0" fontId="0" numFmtId="166" xfId="0" applyAlignment="1" applyFont="1" applyNumberFormat="1">
      <alignment readingOrder="0"/>
    </xf>
    <xf borderId="0" fillId="0" fontId="0" numFmtId="0" xfId="0" applyAlignment="1" applyFont="1">
      <alignment readingOrder="0"/>
    </xf>
    <xf borderId="13" fillId="12" fontId="33" numFmtId="0" xfId="0" applyAlignment="1" applyBorder="1" applyFill="1" applyFont="1">
      <alignment vertical="bottom"/>
    </xf>
    <xf borderId="0" fillId="0" fontId="33" numFmtId="167" xfId="0" applyAlignment="1" applyFont="1" applyNumberFormat="1">
      <alignment horizontal="right" readingOrder="0" vertical="bottom"/>
    </xf>
    <xf borderId="8" fillId="10" fontId="24" numFmtId="0" xfId="0" applyAlignment="1" applyBorder="1" applyFont="1">
      <alignment horizontal="center" readingOrder="0" textRotation="0" vertical="center"/>
    </xf>
    <xf borderId="0" fillId="0" fontId="33" numFmtId="3" xfId="0" applyAlignment="1" applyFont="1" applyNumberFormat="1">
      <alignment horizontal="right" readingOrder="0" vertical="bottom"/>
    </xf>
    <xf borderId="0" fillId="0" fontId="33" numFmtId="0" xfId="0" applyAlignment="1" applyFont="1">
      <alignment horizontal="center" readingOrder="0" vertical="bottom"/>
    </xf>
    <xf borderId="0" fillId="0" fontId="33" numFmtId="166" xfId="0" applyAlignment="1" applyFont="1" applyNumberFormat="1">
      <alignment horizontal="right" readingOrder="0" vertical="bottom"/>
    </xf>
    <xf borderId="0" fillId="0" fontId="33" numFmtId="0" xfId="0" applyAlignment="1" applyFont="1">
      <alignment readingOrder="0" vertical="bottom"/>
    </xf>
    <xf borderId="0" fillId="0" fontId="33" numFmtId="164" xfId="0" applyAlignment="1" applyFont="1" applyNumberFormat="1">
      <alignment horizontal="center" readingOrder="0" vertical="bottom"/>
    </xf>
    <xf borderId="0" fillId="0" fontId="33" numFmtId="3" xfId="0" applyAlignment="1" applyFont="1" applyNumberFormat="1">
      <alignment horizontal="center" readingOrder="0" vertical="bottom"/>
    </xf>
    <xf borderId="13" fillId="2" fontId="33" numFmtId="0" xfId="0" applyAlignment="1" applyBorder="1" applyFont="1">
      <alignment readingOrder="0" vertical="bottom"/>
    </xf>
    <xf borderId="0" fillId="0" fontId="33" numFmtId="164" xfId="0" applyAlignment="1" applyFont="1" applyNumberFormat="1">
      <alignment horizontal="center" vertical="bottom"/>
    </xf>
    <xf borderId="13" fillId="2" fontId="33" numFmtId="0" xfId="0" applyAlignment="1" applyBorder="1" applyFont="1">
      <alignment vertical="bottom"/>
    </xf>
    <xf borderId="0" fillId="0" fontId="33" numFmtId="166" xfId="0" applyAlignment="1" applyFont="1" applyNumberFormat="1">
      <alignment horizontal="center" readingOrder="0" vertical="bottom"/>
    </xf>
    <xf borderId="0" fillId="0" fontId="25" numFmtId="0" xfId="0" applyAlignment="1" applyFont="1">
      <alignment horizontal="center" readingOrder="0" vertical="center"/>
    </xf>
    <xf borderId="0" fillId="0" fontId="33" numFmtId="166" xfId="0" applyAlignment="1" applyFont="1" applyNumberFormat="1">
      <alignment horizontal="center" vertical="bottom"/>
    </xf>
    <xf borderId="0" fillId="0" fontId="33" numFmtId="166" xfId="0" applyAlignment="1" applyFont="1" applyNumberFormat="1">
      <alignment horizontal="right" vertical="bottom"/>
    </xf>
    <xf borderId="0" fillId="0" fontId="33" numFmtId="0" xfId="0" applyAlignment="1" applyFont="1">
      <alignment vertical="bottom"/>
    </xf>
    <xf borderId="0" fillId="0" fontId="33" numFmtId="3" xfId="0" applyAlignment="1" applyFont="1" applyNumberFormat="1">
      <alignment horizontal="center" vertical="bottom"/>
    </xf>
    <xf borderId="0" fillId="0" fontId="22" numFmtId="168" xfId="0" applyAlignment="1" applyFont="1" applyNumberFormat="1">
      <alignment horizontal="center" readingOrder="0"/>
    </xf>
    <xf borderId="0" fillId="0" fontId="22" numFmtId="168" xfId="0" applyAlignment="1" applyFont="1" applyNumberFormat="1">
      <alignment readingOrder="0"/>
    </xf>
    <xf borderId="0" fillId="0" fontId="22" numFmtId="164" xfId="0" applyAlignment="1" applyFont="1" applyNumberFormat="1">
      <alignment horizontal="center" readingOrder="0"/>
    </xf>
    <xf borderId="0" fillId="0" fontId="33" numFmtId="172" xfId="0" applyAlignment="1" applyFont="1" applyNumberFormat="1">
      <alignment horizontal="right" vertical="bottom"/>
    </xf>
    <xf borderId="0" fillId="0" fontId="22" numFmtId="170" xfId="0" applyAlignment="1" applyFont="1" applyNumberFormat="1">
      <alignment readingOrder="0"/>
    </xf>
    <xf borderId="0" fillId="0" fontId="22" numFmtId="0" xfId="0" applyAlignment="1" applyFont="1">
      <alignment horizontal="center"/>
    </xf>
    <xf borderId="0" fillId="0" fontId="22" numFmtId="166" xfId="0" applyAlignment="1" applyFont="1" applyNumberFormat="1">
      <alignment horizontal="center"/>
    </xf>
    <xf borderId="0" fillId="0" fontId="22" numFmtId="166" xfId="0" applyAlignment="1" applyFont="1" applyNumberFormat="1">
      <alignment horizontal="right"/>
    </xf>
    <xf borderId="0" fillId="0" fontId="22" numFmtId="0" xfId="0" applyFont="1"/>
    <xf borderId="0" fillId="0" fontId="22" numFmtId="164" xfId="0" applyAlignment="1" applyFont="1" applyNumberFormat="1">
      <alignment horizontal="center"/>
    </xf>
    <xf borderId="0" fillId="0" fontId="22" numFmtId="3" xfId="0" applyAlignment="1" applyFont="1" applyNumberFormat="1">
      <alignment horizontal="center"/>
    </xf>
    <xf borderId="0" fillId="0" fontId="0" numFmtId="172" xfId="0" applyAlignment="1" applyFont="1" applyNumberFormat="1">
      <alignment horizontal="center" readingOrder="0"/>
    </xf>
    <xf borderId="13" fillId="12" fontId="33" numFmtId="0" xfId="0" applyAlignment="1" applyBorder="1" applyFont="1">
      <alignment readingOrder="0" vertical="bottom"/>
    </xf>
    <xf borderId="13" fillId="0" fontId="22" numFmtId="0" xfId="0" applyAlignment="1" applyBorder="1" applyFont="1">
      <alignment horizontal="center"/>
    </xf>
    <xf borderId="0" fillId="0" fontId="22" numFmtId="167" xfId="0" applyAlignment="1" applyFont="1" applyNumberFormat="1">
      <alignment readingOrder="0"/>
    </xf>
    <xf borderId="0" fillId="0" fontId="22" numFmtId="167" xfId="0" applyFont="1" applyNumberFormat="1"/>
    <xf borderId="10" fillId="9" fontId="24" numFmtId="0" xfId="0" applyAlignment="1" applyBorder="1" applyFont="1">
      <alignment horizontal="center" readingOrder="0" textRotation="0" vertical="center"/>
    </xf>
    <xf borderId="14" fillId="0" fontId="22" numFmtId="0" xfId="0" applyAlignment="1" applyBorder="1" applyFont="1">
      <alignment horizontal="center" readingOrder="0"/>
    </xf>
    <xf borderId="15" fillId="2" fontId="33" numFmtId="0" xfId="0" applyAlignment="1" applyBorder="1" applyFont="1">
      <alignment vertical="bottom"/>
    </xf>
    <xf borderId="10" fillId="10" fontId="24" numFmtId="0" xfId="0" applyAlignment="1" applyBorder="1" applyFont="1">
      <alignment horizontal="center" readingOrder="0" textRotation="0" vertical="center"/>
    </xf>
    <xf borderId="14" fillId="0" fontId="22" numFmtId="166" xfId="0" applyAlignment="1" applyBorder="1" applyFont="1" applyNumberFormat="1">
      <alignment horizontal="right"/>
    </xf>
    <xf borderId="14" fillId="0" fontId="22" numFmtId="167" xfId="0" applyBorder="1" applyFont="1" applyNumberFormat="1"/>
    <xf borderId="14" fillId="0" fontId="22" numFmtId="164" xfId="0" applyAlignment="1" applyBorder="1" applyFont="1" applyNumberFormat="1">
      <alignment horizontal="center"/>
    </xf>
    <xf borderId="14" fillId="0" fontId="22" numFmtId="3" xfId="0" applyAlignment="1" applyBorder="1" applyFont="1" applyNumberFormat="1">
      <alignment horizontal="center"/>
    </xf>
    <xf borderId="14" fillId="11" fontId="22" numFmtId="164" xfId="0" applyAlignment="1" applyBorder="1" applyFont="1" applyNumberFormat="1">
      <alignment horizontal="center" readingOrder="0"/>
    </xf>
    <xf borderId="15" fillId="0" fontId="22" numFmtId="0" xfId="0" applyAlignment="1" applyBorder="1" applyFont="1">
      <alignment horizontal="center"/>
    </xf>
    <xf borderId="2" fillId="0" fontId="24" numFmtId="0" xfId="0" applyAlignment="1" applyBorder="1" applyFont="1">
      <alignment horizontal="center" readingOrder="0"/>
    </xf>
    <xf borderId="2" fillId="0" fontId="24" numFmtId="0" xfId="0" applyAlignment="1" applyBorder="1" applyFont="1">
      <alignment horizontal="right" readingOrder="0"/>
    </xf>
    <xf borderId="0" fillId="0" fontId="22" numFmtId="3" xfId="0" applyAlignment="1" applyFont="1" applyNumberFormat="1">
      <alignment horizontal="center"/>
    </xf>
    <xf borderId="0" fillId="0" fontId="22" numFmtId="167" xfId="0" applyFont="1" applyNumberFormat="1"/>
    <xf borderId="0" fillId="0" fontId="22" numFmtId="164" xfId="0" applyFont="1" applyNumberFormat="1"/>
    <xf borderId="0" fillId="0" fontId="22" numFmtId="164" xfId="0" applyAlignment="1" applyFont="1" applyNumberFormat="1">
      <alignment horizontal="center"/>
    </xf>
    <xf borderId="2" fillId="0" fontId="0" numFmtId="164" xfId="0" applyAlignment="1" applyBorder="1" applyFont="1" applyNumberFormat="1">
      <alignment horizontal="center" readingOrder="0"/>
    </xf>
    <xf borderId="2" fillId="0" fontId="22" numFmtId="3" xfId="0" applyAlignment="1" applyBorder="1" applyFont="1" applyNumberFormat="1">
      <alignment horizontal="right" readingOrder="0"/>
    </xf>
    <xf borderId="2" fillId="0" fontId="22" numFmtId="166" xfId="0" applyAlignment="1" applyBorder="1" applyFont="1" applyNumberFormat="1">
      <alignment horizontal="right" readingOrder="0"/>
    </xf>
    <xf borderId="2" fillId="0" fontId="22" numFmtId="0" xfId="0" applyAlignment="1" applyBorder="1" applyFont="1">
      <alignment readingOrder="0"/>
    </xf>
    <xf borderId="2" fillId="0" fontId="22" numFmtId="164" xfId="0" applyAlignment="1" applyBorder="1" applyFont="1" applyNumberFormat="1">
      <alignment horizontal="center" readingOrder="0"/>
    </xf>
    <xf borderId="2" fillId="0" fontId="22" numFmtId="3" xfId="0" applyAlignment="1" applyBorder="1" applyFont="1" applyNumberFormat="1">
      <alignment horizontal="center" readingOrder="0"/>
    </xf>
    <xf borderId="2" fillId="11" fontId="22" numFmtId="164" xfId="0" applyAlignment="1" applyBorder="1" applyFont="1" applyNumberFormat="1">
      <alignment horizontal="center" readingOrder="0"/>
    </xf>
    <xf borderId="3" fillId="0" fontId="22" numFmtId="0" xfId="0" applyAlignment="1" applyBorder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22" numFmtId="167" xfId="0" applyAlignment="1" applyFont="1" applyNumberFormat="1">
      <alignment readingOrder="0"/>
    </xf>
    <xf borderId="0" fillId="0" fontId="22" numFmtId="164" xfId="0" applyAlignment="1" applyFont="1" applyNumberFormat="1">
      <alignment readingOrder="0"/>
    </xf>
    <xf borderId="0" fillId="0" fontId="22" numFmtId="168" xfId="0" applyAlignment="1" applyFont="1" applyNumberFormat="1">
      <alignment horizontal="right" readingOrder="0"/>
    </xf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horizontal="right" readingOrder="0"/>
    </xf>
    <xf borderId="11" fillId="0" fontId="0" numFmtId="0" xfId="0" applyAlignment="1" applyBorder="1" applyFont="1">
      <alignment horizontal="center" readingOrder="0"/>
    </xf>
    <xf borderId="14" fillId="0" fontId="0" numFmtId="166" xfId="0" applyAlignment="1" applyBorder="1" applyFont="1" applyNumberFormat="1">
      <alignment readingOrder="0"/>
    </xf>
    <xf borderId="14" fillId="0" fontId="0" numFmtId="0" xfId="0" applyAlignment="1" applyBorder="1" applyFont="1">
      <alignment readingOrder="0"/>
    </xf>
    <xf borderId="14" fillId="0" fontId="0" numFmtId="164" xfId="0" applyAlignment="1" applyBorder="1" applyFont="1" applyNumberFormat="1">
      <alignment horizontal="center" readingOrder="0"/>
    </xf>
    <xf borderId="14" fillId="0" fontId="33" numFmtId="3" xfId="0" applyAlignment="1" applyBorder="1" applyFont="1" applyNumberFormat="1">
      <alignment horizontal="right" readingOrder="0" vertical="bottom"/>
    </xf>
    <xf borderId="14" fillId="0" fontId="22" numFmtId="166" xfId="0" applyAlignment="1" applyBorder="1" applyFont="1" applyNumberFormat="1">
      <alignment horizontal="center"/>
    </xf>
    <xf borderId="0" fillId="0" fontId="0" numFmtId="0" xfId="0" applyAlignment="1" applyFont="1">
      <alignment horizontal="center" readingOrder="0"/>
    </xf>
    <xf borderId="0" fillId="0" fontId="0" numFmtId="169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4" xfId="0" applyAlignment="1" applyFont="1" applyNumberFormat="1">
      <alignment horizontal="center" readingOrder="0"/>
    </xf>
    <xf borderId="0" fillId="0" fontId="22" numFmtId="3" xfId="0" applyFont="1" applyNumberFormat="1"/>
    <xf borderId="0" fillId="0" fontId="33" numFmtId="3" xfId="0" applyAlignment="1" applyFont="1" applyNumberFormat="1">
      <alignment horizontal="right" vertical="bottom"/>
    </xf>
    <xf borderId="0" fillId="0" fontId="0" numFmtId="164" xfId="0" applyAlignment="1" applyFont="1" applyNumberFormat="1">
      <alignment horizontal="center"/>
    </xf>
    <xf borderId="0" fillId="0" fontId="22" numFmtId="0" xfId="0" applyAlignment="1" applyFont="1">
      <alignment horizontal="center"/>
    </xf>
    <xf borderId="0" fillId="0" fontId="22" numFmtId="0" xfId="0" applyAlignment="1" applyFont="1">
      <alignment horizontal="center"/>
    </xf>
    <xf borderId="0" fillId="0" fontId="22" numFmtId="3" xfId="0" applyAlignment="1" applyFont="1" applyNumberFormat="1">
      <alignment horizontal="right"/>
    </xf>
    <xf borderId="14" fillId="0" fontId="22" numFmtId="3" xfId="0" applyAlignment="1" applyBorder="1" applyFont="1" applyNumberFormat="1">
      <alignment horizontal="right"/>
    </xf>
    <xf borderId="5" fillId="0" fontId="22" numFmtId="164" xfId="0" applyBorder="1" applyFont="1" applyNumberFormat="1"/>
    <xf borderId="0" fillId="0" fontId="22" numFmtId="0" xfId="0" applyFont="1"/>
    <xf borderId="3" fillId="2" fontId="33" numFmtId="0" xfId="0" applyAlignment="1" applyBorder="1" applyFont="1">
      <alignment readingOrder="0" vertical="bottom"/>
    </xf>
    <xf borderId="2" fillId="0" fontId="0" numFmtId="164" xfId="0" applyAlignment="1" applyBorder="1" applyFont="1" applyNumberForma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33" numFmtId="0" xfId="0" applyAlignment="1" applyFont="1">
      <alignment readingOrder="0" vertical="bottom"/>
    </xf>
    <xf borderId="7" fillId="13" fontId="24" numFmtId="0" xfId="0" applyAlignment="1" applyBorder="1" applyFill="1" applyFont="1">
      <alignment horizontal="center" readingOrder="0"/>
    </xf>
    <xf borderId="9" fillId="9" fontId="24" numFmtId="0" xfId="0" applyAlignment="1" applyBorder="1" applyFont="1">
      <alignment horizontal="center" readingOrder="0"/>
    </xf>
    <xf borderId="3" fillId="9" fontId="24" numFmtId="0" xfId="0" applyAlignment="1" applyBorder="1" applyFont="1">
      <alignment horizontal="center" readingOrder="0"/>
    </xf>
    <xf borderId="1" fillId="9" fontId="24" numFmtId="0" xfId="0" applyAlignment="1" applyBorder="1" applyFont="1">
      <alignment horizontal="center" readingOrder="0"/>
    </xf>
    <xf borderId="10" fillId="9" fontId="24" numFmtId="0" xfId="0" applyAlignment="1" applyBorder="1" applyFont="1">
      <alignment horizontal="center" readingOrder="0"/>
    </xf>
    <xf borderId="7" fillId="9" fontId="24" numFmtId="0" xfId="0" applyAlignment="1" applyBorder="1" applyFont="1">
      <alignment horizontal="center" readingOrder="0"/>
    </xf>
    <xf borderId="9" fillId="13" fontId="24" numFmtId="0" xfId="0" applyAlignment="1" applyBorder="1" applyFont="1">
      <alignment horizontal="center" readingOrder="0" textRotation="0" vertical="center"/>
    </xf>
    <xf borderId="0" fillId="0" fontId="31" numFmtId="168" xfId="0" applyAlignment="1" applyFont="1" applyNumberFormat="1">
      <alignment horizontal="right" readingOrder="0" vertical="bottom"/>
    </xf>
    <xf borderId="0" fillId="0" fontId="31" numFmtId="164" xfId="0" applyAlignment="1" applyFont="1" applyNumberFormat="1">
      <alignment readingOrder="0" vertical="bottom"/>
    </xf>
    <xf borderId="0" fillId="0" fontId="31" numFmtId="0" xfId="0" applyAlignment="1" applyFont="1">
      <alignment readingOrder="0" vertical="bottom"/>
    </xf>
    <xf borderId="0" fillId="2" fontId="35" numFmtId="0" xfId="0" applyAlignment="1" applyFont="1">
      <alignment readingOrder="0"/>
    </xf>
    <xf borderId="8" fillId="13" fontId="24" numFmtId="0" xfId="0" applyAlignment="1" applyBorder="1" applyFont="1">
      <alignment horizontal="center" readingOrder="0" textRotation="0" vertical="center"/>
    </xf>
    <xf borderId="13" fillId="0" fontId="33" numFmtId="0" xfId="0" applyAlignment="1" applyBorder="1" applyFont="1">
      <alignment horizontal="center" readingOrder="0" vertical="bottom"/>
    </xf>
    <xf borderId="0" fillId="0" fontId="33" numFmtId="167" xfId="0" applyAlignment="1" applyFont="1" applyNumberFormat="1">
      <alignment horizontal="center" readingOrder="0" vertical="bottom"/>
    </xf>
    <xf borderId="13" fillId="0" fontId="33" numFmtId="167" xfId="0" applyAlignment="1" applyBorder="1" applyFont="1" applyNumberFormat="1">
      <alignment horizontal="center" readingOrder="0" vertical="bottom"/>
    </xf>
    <xf borderId="0" fillId="0" fontId="36" numFmtId="0" xfId="0" applyAlignment="1" applyFont="1">
      <alignment horizontal="center" readingOrder="0" vertical="center"/>
    </xf>
    <xf borderId="13" fillId="0" fontId="22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10" fillId="13" fontId="24" numFmtId="0" xfId="0" applyAlignment="1" applyBorder="1" applyFont="1">
      <alignment horizontal="center" readingOrder="0" textRotation="0" vertical="center"/>
    </xf>
    <xf borderId="14" fillId="0" fontId="22" numFmtId="0" xfId="0" applyAlignment="1" applyBorder="1" applyFont="1">
      <alignment horizontal="center" readingOrder="0"/>
    </xf>
    <xf borderId="15" fillId="0" fontId="22" numFmtId="0" xfId="0" applyAlignment="1" applyBorder="1" applyFont="1">
      <alignment horizontal="center" readingOrder="0"/>
    </xf>
    <xf borderId="0" fillId="0" fontId="11" numFmtId="167" xfId="0" applyFont="1" applyNumberFormat="1"/>
    <xf borderId="9" fillId="13" fontId="29" numFmtId="0" xfId="0" applyAlignment="1" applyBorder="1" applyFont="1">
      <alignment horizontal="center" readingOrder="0" textRotation="0" vertical="center"/>
    </xf>
    <xf borderId="2" fillId="0" fontId="30" numFmtId="164" xfId="0" applyAlignment="1" applyBorder="1" applyFont="1" applyNumberFormat="1">
      <alignment horizontal="center" readingOrder="0"/>
    </xf>
    <xf borderId="8" fillId="13" fontId="29" numFmtId="0" xfId="0" applyAlignment="1" applyBorder="1" applyFont="1">
      <alignment horizontal="center" readingOrder="0" textRotation="0" vertical="center"/>
    </xf>
    <xf borderId="0" fillId="0" fontId="30" numFmtId="164" xfId="0" applyAlignment="1" applyFont="1" applyNumberFormat="1">
      <alignment horizontal="center" readingOrder="0"/>
    </xf>
    <xf borderId="0" fillId="0" fontId="31" numFmtId="0" xfId="0" applyAlignment="1" applyFont="1">
      <alignment horizontal="center" readingOrder="0" vertical="bottom"/>
    </xf>
    <xf borderId="13" fillId="0" fontId="31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center" readingOrder="0"/>
    </xf>
    <xf borderId="0" fillId="0" fontId="31" numFmtId="167" xfId="0" applyAlignment="1" applyFont="1" applyNumberFormat="1">
      <alignment horizontal="center" readingOrder="0" vertical="bottom"/>
    </xf>
    <xf borderId="13" fillId="0" fontId="31" numFmtId="167" xfId="0" applyAlignment="1" applyBorder="1" applyFont="1" applyNumberFormat="1">
      <alignment horizontal="center" readingOrder="0" vertical="bottom"/>
    </xf>
    <xf borderId="10" fillId="13" fontId="29" numFmtId="0" xfId="0" applyAlignment="1" applyBorder="1" applyFont="1">
      <alignment horizontal="center" readingOrder="0" textRotation="0" vertical="center"/>
    </xf>
    <xf borderId="14" fillId="0" fontId="30" numFmtId="164" xfId="0" applyAlignment="1" applyBorder="1" applyFont="1" applyNumberFormat="1">
      <alignment horizontal="center" readingOrder="0"/>
    </xf>
    <xf borderId="14" fillId="0" fontId="11" numFmtId="0" xfId="0" applyAlignment="1" applyBorder="1" applyFont="1">
      <alignment horizontal="center" readingOrder="0"/>
    </xf>
    <xf borderId="15" fillId="0" fontId="11" numFmtId="0" xfId="0" applyAlignment="1" applyBorder="1" applyFont="1">
      <alignment horizontal="center" readingOrder="0"/>
    </xf>
    <xf borderId="0" fillId="0" fontId="30" numFmtId="164" xfId="0" applyAlignment="1" applyFont="1" applyNumberFormat="1">
      <alignment horizontal="center" readingOrder="0"/>
    </xf>
    <xf borderId="2" fillId="0" fontId="30" numFmtId="164" xfId="0" applyAlignment="1" applyBorder="1" applyFont="1" applyNumberFormat="1">
      <alignment horizontal="center" readingOrder="0"/>
    </xf>
    <xf borderId="0" fillId="0" fontId="30" numFmtId="164" xfId="0" applyAlignment="1" applyFont="1" applyNumberFormat="1">
      <alignment horizontal="center" readingOrder="0"/>
    </xf>
    <xf borderId="0" fillId="0" fontId="30" numFmtId="164" xfId="0" applyAlignment="1" applyFont="1" applyNumberFormat="1">
      <alignment horizontal="center"/>
    </xf>
    <xf borderId="0" fillId="0" fontId="28" numFmtId="0" xfId="0" applyAlignment="1" applyFont="1">
      <alignment horizontal="center" readingOrder="0" vertical="center"/>
    </xf>
    <xf borderId="0" fillId="0" fontId="22" numFmtId="0" xfId="0" applyAlignment="1" applyFont="1">
      <alignment horizontal="center" vertical="center"/>
    </xf>
    <xf borderId="0" fillId="0" fontId="9" numFmtId="166" xfId="0" applyFont="1" applyNumberFormat="1"/>
    <xf borderId="4" fillId="0" fontId="22" numFmtId="0" xfId="0" applyAlignment="1" applyBorder="1" applyFont="1">
      <alignment horizontal="center" vertical="center"/>
    </xf>
    <xf borderId="12" fillId="0" fontId="7" numFmtId="0" xfId="0" applyBorder="1" applyFont="1"/>
    <xf borderId="0" fillId="0" fontId="37" numFmtId="0" xfId="0" applyAlignment="1" applyFont="1">
      <alignment horizontal="center" readingOrder="0"/>
    </xf>
    <xf borderId="0" fillId="0" fontId="37" numFmtId="166" xfId="0" applyAlignment="1" applyFont="1" applyNumberFormat="1">
      <alignment horizontal="center" readingOrder="0"/>
    </xf>
    <xf borderId="1" fillId="14" fontId="28" numFmtId="0" xfId="0" applyAlignment="1" applyBorder="1" applyFill="1" applyFont="1">
      <alignment horizontal="right" readingOrder="0"/>
    </xf>
    <xf borderId="2" fillId="14" fontId="28" numFmtId="0" xfId="0" applyAlignment="1" applyBorder="1" applyFont="1">
      <alignment horizontal="right" readingOrder="0"/>
    </xf>
    <xf borderId="3" fillId="14" fontId="28" numFmtId="0" xfId="0" applyAlignment="1" applyBorder="1" applyFont="1">
      <alignment horizontal="right" readingOrder="0"/>
    </xf>
    <xf borderId="7" fillId="14" fontId="28" numFmtId="0" xfId="0" applyAlignment="1" applyBorder="1" applyFont="1">
      <alignment horizontal="center" readingOrder="0"/>
    </xf>
    <xf borderId="6" fillId="15" fontId="28" numFmtId="0" xfId="0" applyAlignment="1" applyBorder="1" applyFill="1" applyFont="1">
      <alignment horizontal="right" readingOrder="0"/>
    </xf>
    <xf borderId="0" fillId="15" fontId="28" numFmtId="0" xfId="0" applyAlignment="1" applyFont="1">
      <alignment horizontal="right" readingOrder="0"/>
    </xf>
    <xf borderId="13" fillId="15" fontId="28" numFmtId="0" xfId="0" applyAlignment="1" applyBorder="1" applyFont="1">
      <alignment horizontal="right" readingOrder="0"/>
    </xf>
    <xf borderId="0" fillId="15" fontId="22" numFmtId="165" xfId="0" applyFont="1" applyNumberFormat="1"/>
    <xf borderId="13" fillId="15" fontId="22" numFmtId="165" xfId="0" applyBorder="1" applyFont="1" applyNumberFormat="1"/>
    <xf borderId="7" fillId="0" fontId="38" numFmtId="0" xfId="0" applyAlignment="1" applyBorder="1" applyFont="1">
      <alignment horizontal="center" readingOrder="0" vertical="bottom"/>
    </xf>
    <xf borderId="7" fillId="0" fontId="38" numFmtId="3" xfId="0" applyAlignment="1" applyBorder="1" applyFont="1" applyNumberFormat="1">
      <alignment horizontal="center" readingOrder="0" vertical="bottom"/>
    </xf>
    <xf borderId="7" fillId="0" fontId="38" numFmtId="166" xfId="0" applyAlignment="1" applyBorder="1" applyFont="1" applyNumberFormat="1">
      <alignment horizontal="center" readingOrder="0" vertical="bottom"/>
    </xf>
    <xf borderId="7" fillId="0" fontId="38" numFmtId="164" xfId="0" applyAlignment="1" applyBorder="1" applyFont="1" applyNumberFormat="1">
      <alignment horizontal="center" readingOrder="0" vertical="bottom"/>
    </xf>
    <xf borderId="7" fillId="0" fontId="39" numFmtId="0" xfId="0" applyAlignment="1" applyBorder="1" applyFont="1">
      <alignment horizontal="center" readingOrder="0"/>
    </xf>
    <xf borderId="6" fillId="14" fontId="28" numFmtId="0" xfId="0" applyAlignment="1" applyBorder="1" applyFont="1">
      <alignment horizontal="right" readingOrder="0"/>
    </xf>
    <xf borderId="0" fillId="14" fontId="28" numFmtId="165" xfId="0" applyAlignment="1" applyFont="1" applyNumberFormat="1">
      <alignment horizontal="right" readingOrder="0"/>
    </xf>
    <xf borderId="13" fillId="14" fontId="28" numFmtId="0" xfId="0" applyAlignment="1" applyBorder="1" applyFont="1">
      <alignment horizontal="right" readingOrder="0"/>
    </xf>
    <xf borderId="0" fillId="16" fontId="22" numFmtId="165" xfId="0" applyFill="1" applyFont="1" applyNumberFormat="1"/>
    <xf borderId="13" fillId="16" fontId="22" numFmtId="165" xfId="0" applyBorder="1" applyFont="1" applyNumberFormat="1"/>
    <xf borderId="0" fillId="0" fontId="33" numFmtId="0" xfId="0" applyAlignment="1" applyFont="1">
      <alignment horizontal="center" readingOrder="0" vertical="bottom"/>
    </xf>
    <xf borderId="0" fillId="0" fontId="33" numFmtId="165" xfId="0" applyAlignment="1" applyFont="1" applyNumberFormat="1">
      <alignment horizontal="center" readingOrder="0" vertical="bottom"/>
    </xf>
    <xf borderId="0" fillId="0" fontId="33" numFmtId="2" xfId="0" applyAlignment="1" applyFont="1" applyNumberFormat="1">
      <alignment horizontal="center" readingOrder="0" vertical="bottom"/>
    </xf>
    <xf borderId="0" fillId="0" fontId="9" numFmtId="0" xfId="0" applyAlignment="1" applyFont="1">
      <alignment horizontal="center" readingOrder="0"/>
    </xf>
    <xf borderId="13" fillId="14" fontId="28" numFmtId="0" xfId="0" applyAlignment="1" applyBorder="1" applyFont="1">
      <alignment horizontal="right"/>
    </xf>
    <xf borderId="0" fillId="2" fontId="22" numFmtId="165" xfId="0" applyFont="1" applyNumberFormat="1"/>
    <xf borderId="13" fillId="2" fontId="22" numFmtId="165" xfId="0" applyBorder="1" applyFont="1" applyNumberFormat="1"/>
    <xf borderId="0" fillId="14" fontId="28" numFmtId="0" xfId="0" applyAlignment="1" applyFont="1">
      <alignment horizontal="right" readingOrder="0"/>
    </xf>
    <xf borderId="11" fillId="14" fontId="28" numFmtId="0" xfId="0" applyAlignment="1" applyBorder="1" applyFont="1">
      <alignment horizontal="right" readingOrder="0"/>
    </xf>
    <xf borderId="14" fillId="14" fontId="28" numFmtId="0" xfId="0" applyAlignment="1" applyBorder="1" applyFont="1">
      <alignment horizontal="right" readingOrder="0"/>
    </xf>
    <xf borderId="15" fillId="14" fontId="28" numFmtId="0" xfId="0" applyAlignment="1" applyBorder="1" applyFont="1">
      <alignment horizontal="right"/>
    </xf>
    <xf borderId="0" fillId="16" fontId="28" numFmtId="0" xfId="0" applyAlignment="1" applyFont="1">
      <alignment horizontal="center" readingOrder="0" vertical="center"/>
    </xf>
    <xf borderId="14" fillId="16" fontId="22" numFmtId="0" xfId="0" applyBorder="1" applyFont="1"/>
    <xf borderId="15" fillId="16" fontId="22" numFmtId="0" xfId="0" applyBorder="1" applyFont="1"/>
    <xf borderId="0" fillId="14" fontId="28" numFmtId="0" xfId="0" applyAlignment="1" applyFont="1">
      <alignment horizontal="center" readingOrder="0" vertical="center"/>
    </xf>
    <xf borderId="7" fillId="17" fontId="25" numFmtId="0" xfId="0" applyAlignment="1" applyBorder="1" applyFill="1" applyFont="1">
      <alignment horizontal="right" readingOrder="0"/>
    </xf>
    <xf borderId="12" fillId="17" fontId="25" numFmtId="0" xfId="0" applyAlignment="1" applyBorder="1" applyFont="1">
      <alignment horizontal="right" readingOrder="0"/>
    </xf>
    <xf borderId="7" fillId="0" fontId="24" numFmtId="0" xfId="0" applyAlignment="1" applyBorder="1" applyFont="1">
      <alignment horizontal="center" readingOrder="0"/>
    </xf>
    <xf borderId="0" fillId="2" fontId="38" numFmtId="166" xfId="0" applyAlignment="1" applyFont="1" applyNumberFormat="1">
      <alignment horizontal="center" readingOrder="0" vertical="bottom"/>
    </xf>
    <xf borderId="0" fillId="2" fontId="38" numFmtId="0" xfId="0" applyAlignment="1" applyFont="1">
      <alignment horizontal="center" readingOrder="0" vertical="bottom"/>
    </xf>
    <xf borderId="0" fillId="2" fontId="38" numFmtId="164" xfId="0" applyAlignment="1" applyFont="1" applyNumberFormat="1">
      <alignment horizontal="center" readingOrder="0" vertical="bottom"/>
    </xf>
    <xf borderId="0" fillId="2" fontId="38" numFmtId="3" xfId="0" applyAlignment="1" applyFont="1" applyNumberFormat="1">
      <alignment horizontal="center" readingOrder="0" vertical="bottom"/>
    </xf>
    <xf borderId="0" fillId="2" fontId="39" numFmtId="0" xfId="0" applyAlignment="1" applyFont="1">
      <alignment horizontal="center" readingOrder="0"/>
    </xf>
    <xf borderId="6" fillId="17" fontId="25" numFmtId="3" xfId="0" applyBorder="1" applyFont="1" applyNumberFormat="1"/>
    <xf borderId="0" fillId="17" fontId="25" numFmtId="0" xfId="0" applyAlignment="1" applyFont="1">
      <alignment horizontal="right"/>
    </xf>
    <xf borderId="13" fillId="17" fontId="25" numFmtId="0" xfId="0" applyAlignment="1" applyBorder="1" applyFont="1">
      <alignment horizontal="right"/>
    </xf>
    <xf borderId="0" fillId="2" fontId="0" numFmtId="165" xfId="0" applyAlignment="1" applyFont="1" applyNumberFormat="1">
      <alignment horizontal="left"/>
    </xf>
    <xf borderId="0" fillId="2" fontId="0" numFmtId="165" xfId="0" applyFont="1" applyNumberFormat="1"/>
    <xf borderId="0" fillId="0" fontId="22" numFmtId="165" xfId="0" applyAlignment="1" applyFont="1" applyNumberFormat="1">
      <alignment readingOrder="0"/>
    </xf>
    <xf borderId="0" fillId="0" fontId="22" numFmtId="165" xfId="0" applyFont="1" applyNumberFormat="1"/>
    <xf borderId="13" fillId="0" fontId="22" numFmtId="165" xfId="0" applyBorder="1" applyFont="1" applyNumberFormat="1"/>
    <xf borderId="0" fillId="2" fontId="40" numFmtId="0" xfId="0" applyAlignment="1" applyFont="1">
      <alignment readingOrder="0"/>
    </xf>
    <xf borderId="0" fillId="2" fontId="40" numFmtId="0" xfId="0" applyAlignment="1" applyFont="1">
      <alignment readingOrder="0"/>
    </xf>
    <xf borderId="6" fillId="17" fontId="25" numFmtId="3" xfId="0" applyAlignment="1" applyBorder="1" applyFont="1" applyNumberFormat="1">
      <alignment horizontal="right"/>
    </xf>
    <xf borderId="0" fillId="2" fontId="0" numFmtId="165" xfId="0" applyAlignment="1" applyFont="1" applyNumberFormat="1">
      <alignment readingOrder="0"/>
    </xf>
    <xf borderId="0" fillId="0" fontId="41" numFmtId="0" xfId="0" applyAlignment="1" applyFont="1">
      <alignment horizontal="center" readingOrder="0" vertical="bottom"/>
    </xf>
    <xf borderId="0" fillId="0" fontId="41" numFmtId="0" xfId="0" applyAlignment="1" applyFont="1">
      <alignment horizontal="center" readingOrder="0" vertical="bottom"/>
    </xf>
    <xf borderId="6" fillId="17" fontId="25" numFmtId="3" xfId="0" applyAlignment="1" applyBorder="1" applyFont="1" applyNumberFormat="1">
      <alignment horizontal="right" readingOrder="0"/>
    </xf>
    <xf borderId="0" fillId="0" fontId="22" numFmtId="165" xfId="0" applyFont="1" applyNumberFormat="1"/>
    <xf borderId="6" fillId="17" fontId="23" numFmtId="3" xfId="0" applyAlignment="1" applyBorder="1" applyFont="1" applyNumberFormat="1">
      <alignment horizontal="right" readingOrder="0"/>
    </xf>
    <xf borderId="0" fillId="17" fontId="23" numFmtId="0" xfId="0" applyAlignment="1" applyFont="1">
      <alignment horizontal="right"/>
    </xf>
    <xf borderId="13" fillId="17" fontId="23" numFmtId="0" xfId="0" applyAlignment="1" applyBorder="1" applyFont="1">
      <alignment horizontal="right"/>
    </xf>
    <xf borderId="0" fillId="2" fontId="42" numFmtId="165" xfId="0" applyAlignment="1" applyFont="1" applyNumberFormat="1">
      <alignment horizontal="left"/>
    </xf>
    <xf borderId="0" fillId="2" fontId="27" numFmtId="165" xfId="0" applyFont="1" applyNumberFormat="1"/>
    <xf borderId="0" fillId="2" fontId="20" numFmtId="165" xfId="0" applyFont="1" applyNumberFormat="1"/>
    <xf borderId="0" fillId="0" fontId="11" numFmtId="165" xfId="0" applyFont="1" applyNumberFormat="1"/>
    <xf borderId="6" fillId="17" fontId="23" numFmtId="0" xfId="0" applyAlignment="1" applyBorder="1" applyFont="1">
      <alignment horizontal="right" readingOrder="0"/>
    </xf>
    <xf borderId="0" fillId="0" fontId="9" numFmtId="165" xfId="0" applyFont="1" applyNumberFormat="1"/>
    <xf borderId="0" fillId="0" fontId="9" numFmtId="165" xfId="0" applyAlignment="1" applyFont="1" applyNumberFormat="1">
      <alignment readingOrder="0"/>
    </xf>
    <xf borderId="11" fillId="17" fontId="23" numFmtId="0" xfId="0" applyAlignment="1" applyBorder="1" applyFont="1">
      <alignment horizontal="right"/>
    </xf>
    <xf borderId="14" fillId="17" fontId="23" numFmtId="0" xfId="0" applyAlignment="1" applyBorder="1" applyFont="1">
      <alignment horizontal="right"/>
    </xf>
    <xf borderId="15" fillId="17" fontId="23" numFmtId="0" xfId="0" applyAlignment="1" applyBorder="1" applyFont="1">
      <alignment horizontal="right" readingOrder="0"/>
    </xf>
    <xf borderId="14" fillId="2" fontId="42" numFmtId="165" xfId="0" applyAlignment="1" applyBorder="1" applyFont="1" applyNumberFormat="1">
      <alignment horizontal="left" readingOrder="0"/>
    </xf>
    <xf borderId="14" fillId="2" fontId="20" numFmtId="165" xfId="0" applyBorder="1" applyFont="1" applyNumberFormat="1"/>
    <xf borderId="14" fillId="0" fontId="9" numFmtId="165" xfId="0" applyBorder="1" applyFont="1" applyNumberFormat="1"/>
    <xf borderId="15" fillId="0" fontId="9" numFmtId="165" xfId="0" applyBorder="1" applyFont="1" applyNumberFormat="1"/>
    <xf borderId="0" fillId="0" fontId="37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0" fillId="17" fontId="37" numFmtId="0" xfId="0" applyAlignment="1" applyFont="1">
      <alignment horizontal="right" readingOrder="0"/>
    </xf>
    <xf borderId="0" fillId="0" fontId="37" numFmtId="0" xfId="0" applyAlignment="1" applyFont="1">
      <alignment horizontal="center" readingOrder="0"/>
    </xf>
    <xf borderId="13" fillId="0" fontId="37" numFmtId="0" xfId="0" applyAlignment="1" applyBorder="1" applyFont="1">
      <alignment horizontal="center" readingOrder="0"/>
    </xf>
    <xf borderId="0" fillId="18" fontId="37" numFmtId="0" xfId="0" applyAlignment="1" applyFill="1" applyFont="1">
      <alignment horizontal="right" readingOrder="0"/>
    </xf>
    <xf borderId="6" fillId="18" fontId="37" numFmtId="0" xfId="0" applyAlignment="1" applyBorder="1" applyFont="1">
      <alignment horizontal="right" readingOrder="0"/>
    </xf>
    <xf borderId="13" fillId="18" fontId="37" numFmtId="0" xfId="0" applyAlignment="1" applyBorder="1" applyFont="1">
      <alignment horizontal="right" readingOrder="0"/>
    </xf>
    <xf borderId="0" fillId="18" fontId="9" numFmtId="165" xfId="0" applyFont="1" applyNumberFormat="1"/>
    <xf borderId="13" fillId="18" fontId="9" numFmtId="165" xfId="0" applyBorder="1" applyFont="1" applyNumberFormat="1"/>
    <xf borderId="0" fillId="6" fontId="37" numFmtId="0" xfId="0" applyAlignment="1" applyFont="1">
      <alignment horizontal="right" readingOrder="0"/>
    </xf>
    <xf borderId="6" fillId="6" fontId="37" numFmtId="165" xfId="0" applyAlignment="1" applyBorder="1" applyFont="1" applyNumberFormat="1">
      <alignment horizontal="right" readingOrder="0"/>
    </xf>
    <xf borderId="13" fillId="6" fontId="37" numFmtId="0" xfId="0" applyAlignment="1" applyBorder="1" applyFont="1">
      <alignment horizontal="right" readingOrder="0"/>
    </xf>
    <xf borderId="1" fillId="0" fontId="9" numFmtId="165" xfId="0" applyBorder="1" applyFont="1" applyNumberFormat="1"/>
    <xf borderId="2" fillId="0" fontId="9" numFmtId="165" xfId="0" applyBorder="1" applyFont="1" applyNumberFormat="1"/>
    <xf borderId="3" fillId="0" fontId="9" numFmtId="165" xfId="0" applyBorder="1" applyFont="1" applyNumberFormat="1"/>
    <xf borderId="13" fillId="6" fontId="37" numFmtId="0" xfId="0" applyAlignment="1" applyBorder="1" applyFont="1">
      <alignment horizontal="right"/>
    </xf>
    <xf borderId="6" fillId="0" fontId="9" numFmtId="165" xfId="0" applyBorder="1" applyFont="1" applyNumberFormat="1"/>
    <xf borderId="0" fillId="0" fontId="9" numFmtId="165" xfId="0" applyFont="1" applyNumberFormat="1"/>
    <xf borderId="13" fillId="0" fontId="9" numFmtId="165" xfId="0" applyBorder="1" applyFont="1" applyNumberFormat="1"/>
    <xf borderId="6" fillId="6" fontId="37" numFmtId="0" xfId="0" applyAlignment="1" applyBorder="1" applyFont="1">
      <alignment horizontal="right" readingOrder="0"/>
    </xf>
    <xf borderId="11" fillId="6" fontId="37" numFmtId="0" xfId="0" applyAlignment="1" applyBorder="1" applyFont="1">
      <alignment horizontal="right" readingOrder="0"/>
    </xf>
    <xf borderId="15" fillId="6" fontId="37" numFmtId="0" xfId="0" applyAlignment="1" applyBorder="1" applyFont="1">
      <alignment horizontal="right"/>
    </xf>
    <xf borderId="11" fillId="0" fontId="9" numFmtId="165" xfId="0" applyBorder="1" applyFont="1" applyNumberFormat="1"/>
    <xf borderId="0" fillId="14" fontId="37" numFmtId="0" xfId="0" applyAlignment="1" applyFont="1">
      <alignment horizontal="right" readingOrder="0"/>
    </xf>
    <xf borderId="0" fillId="14" fontId="37" numFmtId="0" xfId="0" applyAlignment="1" applyFont="1">
      <alignment horizontal="right" readingOrder="0"/>
    </xf>
    <xf borderId="0" fillId="0" fontId="9" numFmtId="0" xfId="0" applyFont="1"/>
    <xf borderId="0" fillId="0" fontId="9" numFmtId="0" xfId="0" applyAlignment="1" applyFont="1">
      <alignment readingOrder="0"/>
    </xf>
  </cellXfs>
  <cellStyles count="1">
    <cellStyle xfId="0" name="Normal" builtinId="0"/>
  </cellStyles>
  <dxfs count="17">
    <dxf>
      <font/>
      <fill>
        <patternFill patternType="none"/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AFE9CA"/>
          <bgColor rgb="FFAFE9CA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60">
    <tableStyle count="3" pivot="0" name="Inicio-style">
      <tableStyleElement dxfId="1" type="headerRow"/>
      <tableStyleElement dxfId="2" type="firstRowStripe"/>
      <tableStyleElement dxfId="3" type="secondRowStripe"/>
    </tableStyle>
    <tableStyle count="2" pivot="0" name="Inicio-style 2">
      <tableStyleElement dxfId="2" type="firstRowStripe"/>
      <tableStyleElement dxfId="3" type="secondRowStripe"/>
    </tableStyle>
    <tableStyle count="4" pivot="0" name="Resumo-style">
      <tableStyleElement dxfId="4" type="headerRow"/>
      <tableStyleElement dxfId="2" type="firstRowStripe"/>
      <tableStyleElement dxfId="5" type="secondRowStripe"/>
      <tableStyleElement dxfId="6" type="totalRow"/>
    </tableStyle>
    <tableStyle count="4" pivot="0" name="Resumo-style 2">
      <tableStyleElement dxfId="7" type="headerRow"/>
      <tableStyleElement dxfId="2" type="firstRowStripe"/>
      <tableStyleElement dxfId="8" type="secondRowStripe"/>
      <tableStyleElement dxfId="2" type="totalRow"/>
    </tableStyle>
    <tableStyle count="3" pivot="0" name="Tabelas-style">
      <tableStyleElement dxfId="7" type="headerRow"/>
      <tableStyleElement dxfId="2" type="firstRowStripe"/>
      <tableStyleElement dxfId="8" type="secondRowStripe"/>
    </tableStyle>
    <tableStyle count="3" pivot="0" name="Tabelas-style 2">
      <tableStyleElement dxfId="4" type="headerRow"/>
      <tableStyleElement dxfId="2" type="firstRowStripe"/>
      <tableStyleElement dxfId="5" type="secondRowStripe"/>
    </tableStyle>
    <tableStyle count="3" pivot="0" name="Tabelas-style 3">
      <tableStyleElement dxfId="9" type="headerRow"/>
      <tableStyleElement dxfId="2" type="firstRowStripe"/>
      <tableStyleElement dxfId="10" type="secondRowStripe"/>
    </tableStyle>
    <tableStyle count="3" pivot="0" name="Entrada-style">
      <tableStyleElement dxfId="11" type="headerRow"/>
      <tableStyleElement dxfId="2" type="firstRowStripe"/>
      <tableStyleElement dxfId="12" type="secondRowStripe"/>
    </tableStyle>
    <tableStyle count="2" pivot="0" name="Entrada-style 2">
      <tableStyleElement dxfId="2" type="firstRowStripe"/>
      <tableStyleElement dxfId="12" type="secondRowStripe"/>
    </tableStyle>
    <tableStyle count="2" pivot="0" name="Entrada-style 3">
      <tableStyleElement dxfId="2" type="firstRowStripe"/>
      <tableStyleElement dxfId="12" type="secondRowStripe"/>
    </tableStyle>
    <tableStyle count="2" pivot="0" name="Entrada-style 4">
      <tableStyleElement dxfId="2" type="firstRowStripe"/>
      <tableStyleElement dxfId="12" type="secondRowStripe"/>
    </tableStyle>
    <tableStyle count="2" pivot="0" name="Entrada-style 5">
      <tableStyleElement dxfId="2" type="firstRowStripe"/>
      <tableStyleElement dxfId="12" type="secondRowStripe"/>
    </tableStyle>
    <tableStyle count="2" pivot="0" name="Entrada-style 6">
      <tableStyleElement dxfId="2" type="firstRowStripe"/>
      <tableStyleElement dxfId="12" type="secondRowStripe"/>
    </tableStyle>
    <tableStyle count="2" pivot="0" name="Entrada-style 7">
      <tableStyleElement dxfId="2" type="firstRowStripe"/>
      <tableStyleElement dxfId="12" type="secondRowStripe"/>
    </tableStyle>
    <tableStyle count="2" pivot="0" name="Entrada-style 8">
      <tableStyleElement dxfId="2" type="firstRowStripe"/>
      <tableStyleElement dxfId="12" type="secondRowStripe"/>
    </tableStyle>
    <tableStyle count="2" pivot="0" name="Entrada-style 9">
      <tableStyleElement dxfId="2" type="firstRowStripe"/>
      <tableStyleElement dxfId="12" type="secondRowStripe"/>
    </tableStyle>
    <tableStyle count="2" pivot="0" name="Entrada-style 10">
      <tableStyleElement dxfId="2" type="firstRowStripe"/>
      <tableStyleElement dxfId="12" type="secondRowStripe"/>
    </tableStyle>
    <tableStyle count="2" pivot="0" name="Entrada-style 11">
      <tableStyleElement dxfId="2" type="firstRowStripe"/>
      <tableStyleElement dxfId="12" type="secondRowStripe"/>
    </tableStyle>
    <tableStyle count="2" pivot="0" name="Entrada-style 12">
      <tableStyleElement dxfId="2" type="firstRowStripe"/>
      <tableStyleElement dxfId="12" type="secondRowStripe"/>
    </tableStyle>
    <tableStyle count="3" pivot="0" name="Saída-style">
      <tableStyleElement dxfId="13" type="headerRow"/>
      <tableStyleElement dxfId="2" type="firstRowStripe"/>
      <tableStyleElement dxfId="14" type="secondRowStripe"/>
    </tableStyle>
    <tableStyle count="2" pivot="0" name="Saída-style 2">
      <tableStyleElement dxfId="2" type="firstRowStripe"/>
      <tableStyleElement dxfId="8" type="secondRowStripe"/>
    </tableStyle>
    <tableStyle count="2" pivot="0" name="Saída-style 3">
      <tableStyleElement dxfId="2" type="firstRowStripe"/>
      <tableStyleElement dxfId="14" type="secondRowStripe"/>
    </tableStyle>
    <tableStyle count="2" pivot="0" name="Saída-style 4">
      <tableStyleElement dxfId="2" type="firstRowStripe"/>
      <tableStyleElement dxfId="8" type="secondRowStripe"/>
    </tableStyle>
    <tableStyle count="2" pivot="0" name="Saída-style 5">
      <tableStyleElement dxfId="2" type="firstRowStripe"/>
      <tableStyleElement dxfId="14" type="secondRowStripe"/>
    </tableStyle>
    <tableStyle count="2" pivot="0" name="Saída-style 6">
      <tableStyleElement dxfId="2" type="firstRowStripe"/>
      <tableStyleElement dxfId="8" type="secondRowStripe"/>
    </tableStyle>
    <tableStyle count="2" pivot="0" name="Saída-style 7">
      <tableStyleElement dxfId="2" type="firstRowStripe"/>
      <tableStyleElement dxfId="14" type="secondRowStripe"/>
    </tableStyle>
    <tableStyle count="2" pivot="0" name="Saída-style 8">
      <tableStyleElement dxfId="2" type="firstRowStripe"/>
      <tableStyleElement dxfId="8" type="secondRowStripe"/>
    </tableStyle>
    <tableStyle count="2" pivot="0" name="Saída-style 9">
      <tableStyleElement dxfId="2" type="firstRowStripe"/>
      <tableStyleElement dxfId="14" type="secondRowStripe"/>
    </tableStyle>
    <tableStyle count="2" pivot="0" name="Saída-style 10">
      <tableStyleElement dxfId="2" type="firstRowStripe"/>
      <tableStyleElement dxfId="8" type="secondRowStripe"/>
    </tableStyle>
    <tableStyle count="2" pivot="0" name="Saída-style 11">
      <tableStyleElement dxfId="2" type="firstRowStripe"/>
      <tableStyleElement dxfId="14" type="secondRowStripe"/>
    </tableStyle>
    <tableStyle count="2" pivot="0" name="Saída-style 12">
      <tableStyleElement dxfId="2" type="firstRowStripe"/>
      <tableStyleElement dxfId="8" type="secondRowStripe"/>
    </tableStyle>
    <tableStyle count="2" pivot="0" name="Saída-style 13">
      <tableStyleElement dxfId="2" type="firstRowStripe"/>
      <tableStyleElement dxfId="14" type="secondRowStripe"/>
    </tableStyle>
    <tableStyle count="2" pivot="0" name="Saída-style 14">
      <tableStyleElement dxfId="2" type="firstRowStripe"/>
      <tableStyleElement dxfId="8" type="secondRowStripe"/>
    </tableStyle>
    <tableStyle count="2" pivot="0" name="Saída-style 15">
      <tableStyleElement dxfId="2" type="firstRowStripe"/>
      <tableStyleElement dxfId="14" type="secondRowStripe"/>
    </tableStyle>
    <tableStyle count="2" pivot="0" name="Saída-style 16">
      <tableStyleElement dxfId="2" type="firstRowStripe"/>
      <tableStyleElement dxfId="8" type="secondRowStripe"/>
    </tableStyle>
    <tableStyle count="2" pivot="0" name="Saída-style 17">
      <tableStyleElement dxfId="2" type="firstRowStripe"/>
      <tableStyleElement dxfId="14" type="secondRowStripe"/>
    </tableStyle>
    <tableStyle count="2" pivot="0" name="Saída-style 18">
      <tableStyleElement dxfId="2" type="firstRowStripe"/>
      <tableStyleElement dxfId="8" type="secondRowStripe"/>
    </tableStyle>
    <tableStyle count="2" pivot="0" name="Saída-style 19">
      <tableStyleElement dxfId="2" type="firstRowStripe"/>
      <tableStyleElement dxfId="14" type="secondRowStripe"/>
    </tableStyle>
    <tableStyle count="2" pivot="0" name="Saída-style 20">
      <tableStyleElement dxfId="2" type="firstRowStripe"/>
      <tableStyleElement dxfId="8" type="secondRowStripe"/>
    </tableStyle>
    <tableStyle count="2" pivot="0" name="Saída-style 21">
      <tableStyleElement dxfId="2" type="firstRowStripe"/>
      <tableStyleElement dxfId="14" type="secondRowStripe"/>
    </tableStyle>
    <tableStyle count="2" pivot="0" name="Saída-style 22">
      <tableStyleElement dxfId="2" type="firstRowStripe"/>
      <tableStyleElement dxfId="8" type="secondRowStripe"/>
    </tableStyle>
    <tableStyle count="2" pivot="0" name="Saída-style 23">
      <tableStyleElement dxfId="2" type="firstRowStripe"/>
      <tableStyleElement dxfId="14" type="secondRowStripe"/>
    </tableStyle>
    <tableStyle count="2" pivot="0" name="Saída-style 24">
      <tableStyleElement dxfId="2" type="firstRowStripe"/>
      <tableStyleElement dxfId="8" type="secondRowStripe"/>
    </tableStyle>
    <tableStyle count="2" pivot="0" name="Saída-style 25">
      <tableStyleElement dxfId="2" type="firstRowStripe"/>
      <tableStyleElement dxfId="14" type="secondRowStripe"/>
    </tableStyle>
    <tableStyle count="3" pivot="0" name="Movimentação-style">
      <tableStyleElement dxfId="9" type="headerRow"/>
      <tableStyleElement dxfId="2" type="firstRowStripe"/>
      <tableStyleElement dxfId="10" type="secondRowStripe"/>
    </tableStyle>
    <tableStyle count="2" pivot="0" name="Movimentação-style 2">
      <tableStyleElement dxfId="2" type="firstRowStripe"/>
      <tableStyleElement dxfId="10" type="secondRowStripe"/>
    </tableStyle>
    <tableStyle count="2" pivot="0" name="Movimentação-style 3">
      <tableStyleElement dxfId="2" type="firstRowStripe"/>
      <tableStyleElement dxfId="10" type="secondRowStripe"/>
    </tableStyle>
    <tableStyle count="2" pivot="0" name="Movimentação-style 4">
      <tableStyleElement dxfId="2" type="firstRowStripe"/>
      <tableStyleElement dxfId="10" type="secondRowStripe"/>
    </tableStyle>
    <tableStyle count="2" pivot="0" name="Movimentação-style 5">
      <tableStyleElement dxfId="2" type="firstRowStripe"/>
      <tableStyleElement dxfId="10" type="secondRowStripe"/>
    </tableStyle>
    <tableStyle count="2" pivot="0" name="Movimentação-style 6">
      <tableStyleElement dxfId="2" type="firstRowStripe"/>
      <tableStyleElement dxfId="10" type="secondRowStripe"/>
    </tableStyle>
    <tableStyle count="2" pivot="0" name="Movimentação-style 7">
      <tableStyleElement dxfId="2" type="firstRowStripe"/>
      <tableStyleElement dxfId="10" type="secondRowStripe"/>
    </tableStyle>
    <tableStyle count="2" pivot="0" name="Movimentação-style 8">
      <tableStyleElement dxfId="2" type="firstRowStripe"/>
      <tableStyleElement dxfId="10" type="secondRowStripe"/>
    </tableStyle>
    <tableStyle count="2" pivot="0" name="Movimentação-style 9">
      <tableStyleElement dxfId="2" type="firstRowStripe"/>
      <tableStyleElement dxfId="10" type="secondRowStripe"/>
    </tableStyle>
    <tableStyle count="2" pivot="0" name="Movimentação-style 10">
      <tableStyleElement dxfId="2" type="firstRowStripe"/>
      <tableStyleElement dxfId="10" type="secondRowStripe"/>
    </tableStyle>
    <tableStyle count="2" pivot="0" name="Movimentação-style 11">
      <tableStyleElement dxfId="2" type="firstRowStripe"/>
      <tableStyleElement dxfId="10" type="secondRowStripe"/>
    </tableStyle>
    <tableStyle count="2" pivot="0" name="Movimentação-style 12">
      <tableStyleElement dxfId="2" type="firstRowStripe"/>
      <tableStyleElement dxfId="10" type="secondRowStripe"/>
    </tableStyle>
    <tableStyle count="3" pivot="0" name="Cartões-style">
      <tableStyleElement dxfId="13" type="headerRow"/>
      <tableStyleElement dxfId="2" type="firstRowStripe"/>
      <tableStyleElement dxfId="14" type="secondRowStripe"/>
    </tableStyle>
    <tableStyle count="3" pivot="0" name="Cartões-style 2">
      <tableStyleElement dxfId="15" type="headerRow"/>
      <tableStyleElement dxfId="2" type="firstRowStripe"/>
      <tableStyleElement dxfId="16" type="secondRowStripe"/>
    </tableStyle>
    <tableStyle count="3" pivot="0" name="Cartões-style 3">
      <tableStyleElement dxfId="13" type="headerRow"/>
      <tableStyleElement dxfId="2" type="firstRowStripe"/>
      <tableStyleElement dxfId="14" type="secondRowStripe"/>
    </tableStyle>
    <tableStyle count="3" pivot="0" name="Cartões-style 4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Entrada Anual ( Visão Geral 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Resumo!$A$4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Resumo!$B$4:$M$4</c:f>
              <c:numCache/>
            </c:numRef>
          </c:val>
        </c:ser>
        <c:ser>
          <c:idx val="1"/>
          <c:order val="1"/>
          <c:tx>
            <c:strRef>
              <c:f>Resumo!$A$5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Resumo!$B$5:$M$5</c:f>
              <c:numCache/>
            </c:numRef>
          </c:val>
        </c:ser>
        <c:ser>
          <c:idx val="2"/>
          <c:order val="2"/>
          <c:tx>
            <c:strRef>
              <c:f>Resumo!$A$6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Resumo!$B$6:$M$6</c:f>
              <c:numCache/>
            </c:numRef>
          </c:val>
        </c:ser>
        <c:ser>
          <c:idx val="3"/>
          <c:order val="3"/>
          <c:tx>
            <c:strRef>
              <c:f>Resumo!$A$7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Resumo!$B$7:$M$7</c:f>
              <c:numCache/>
            </c:numRef>
          </c:val>
        </c:ser>
        <c:ser>
          <c:idx val="4"/>
          <c:order val="4"/>
          <c:tx>
            <c:strRef>
              <c:f>Resumo!$A$8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Resumo!$B$3:$M$3</c:f>
            </c:strRef>
          </c:cat>
          <c:val>
            <c:numRef>
              <c:f>Resumo!$B$8:$M$8</c:f>
              <c:numCache/>
            </c:numRef>
          </c:val>
        </c:ser>
        <c:axId val="221956672"/>
        <c:axId val="1253697445"/>
      </c:barChart>
      <c:catAx>
        <c:axId val="22195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697445"/>
      </c:catAx>
      <c:valAx>
        <c:axId val="1253697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956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Saída Anual ( Visão Geral 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Resumo!$A$25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Resumo!$B$25:$M$25</c:f>
              <c:numCache/>
            </c:numRef>
          </c:val>
        </c:ser>
        <c:ser>
          <c:idx val="1"/>
          <c:order val="1"/>
          <c:tx>
            <c:strRef>
              <c:f>Resumo!$A$26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Resumo!$B$26:$M$26</c:f>
              <c:numCache/>
            </c:numRef>
          </c:val>
        </c:ser>
        <c:ser>
          <c:idx val="2"/>
          <c:order val="2"/>
          <c:tx>
            <c:strRef>
              <c:f>Resumo!$A$27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Resumo!$B$27:$M$27</c:f>
              <c:numCache/>
            </c:numRef>
          </c:val>
        </c:ser>
        <c:ser>
          <c:idx val="3"/>
          <c:order val="3"/>
          <c:tx>
            <c:strRef>
              <c:f>Resumo!$A$28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Resumo!$B$28:$M$28</c:f>
              <c:numCache/>
            </c:numRef>
          </c:val>
        </c:ser>
        <c:ser>
          <c:idx val="4"/>
          <c:order val="4"/>
          <c:tx>
            <c:strRef>
              <c:f>Resumo!$A$29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Resumo!$B$29:$M$29</c:f>
              <c:numCache/>
            </c:numRef>
          </c:val>
        </c:ser>
        <c:ser>
          <c:idx val="5"/>
          <c:order val="5"/>
          <c:tx>
            <c:strRef>
              <c:f>Resumo!$A$30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Resumo!$B$30:$M$30</c:f>
              <c:numCache/>
            </c:numRef>
          </c:val>
        </c:ser>
        <c:ser>
          <c:idx val="6"/>
          <c:order val="6"/>
          <c:tx>
            <c:strRef>
              <c:f>Resumo!$A$31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Resumo!$B$31:$M$31</c:f>
              <c:numCache/>
            </c:numRef>
          </c:val>
        </c:ser>
        <c:ser>
          <c:idx val="7"/>
          <c:order val="7"/>
          <c:tx>
            <c:strRef>
              <c:f>Resumo!$A$32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Resumo!$B$32:$M$32</c:f>
              <c:numCache/>
            </c:numRef>
          </c:val>
        </c:ser>
        <c:ser>
          <c:idx val="8"/>
          <c:order val="8"/>
          <c:tx>
            <c:strRef>
              <c:f>Resumo!$A$33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Resumo!$B$33:$M$33</c:f>
              <c:numCache/>
            </c:numRef>
          </c:val>
        </c:ser>
        <c:ser>
          <c:idx val="9"/>
          <c:order val="9"/>
          <c:tx>
            <c:strRef>
              <c:f>Resumo!$A$34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Resumo!$B$24:$M$24</c:f>
            </c:strRef>
          </c:cat>
          <c:val>
            <c:numRef>
              <c:f>Resumo!$B$34:$M$34</c:f>
              <c:numCache/>
            </c:numRef>
          </c:val>
        </c:ser>
        <c:ser>
          <c:idx val="10"/>
          <c:order val="10"/>
          <c:tx>
            <c:strRef>
              <c:f>Resumo!$A$36</c:f>
            </c:strRef>
          </c:tx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Resumo!$B$36:$M$36</c:f>
              <c:numCache/>
            </c:numRef>
          </c:val>
        </c:ser>
        <c:ser>
          <c:idx val="11"/>
          <c:order val="11"/>
          <c:tx>
            <c:strRef>
              <c:f>Resumo!$A$37</c:f>
            </c:strRef>
          </c:tx>
          <c:spPr>
            <a:solidFill>
              <a:schemeClr val="accent6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Resumo!$B$24:$M$24</c:f>
            </c:strRef>
          </c:cat>
          <c:val>
            <c:numRef>
              <c:f>Resumo!$B$37:$M$37</c:f>
              <c:numCache/>
            </c:numRef>
          </c:val>
        </c:ser>
        <c:overlap val="100"/>
        <c:axId val="728329748"/>
        <c:axId val="129648563"/>
      </c:barChart>
      <c:catAx>
        <c:axId val="728329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Janeiro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648563"/>
      </c:catAx>
      <c:valAx>
        <c:axId val="129648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83297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44</xdr:row>
      <xdr:rowOff>0</xdr:rowOff>
    </xdr:from>
    <xdr:ext cx="13182600" cy="36290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63</xdr:row>
      <xdr:rowOff>152400</xdr:rowOff>
    </xdr:from>
    <xdr:ext cx="13182600" cy="3629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0:U32" displayName="Table_1" id="1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B87:G127" displayName="Table_10" id="10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3" showColumnStripes="0" showFirstColumn="1" showLastColumn="1" showRowStripes="1"/>
</table>
</file>

<file path=xl/tables/table11.xml><?xml version="1.0" encoding="utf-8"?>
<table xmlns="http://schemas.openxmlformats.org/spreadsheetml/2006/main" headerRowCount="0" ref="B129:G169" displayName="Table_11" id="1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4" showColumnStripes="0" showFirstColumn="1" showLastColumn="1" showRowStripes="1"/>
</table>
</file>

<file path=xl/tables/table12.xml><?xml version="1.0" encoding="utf-8"?>
<table xmlns="http://schemas.openxmlformats.org/spreadsheetml/2006/main" headerRowCount="0" ref="B171:G211" displayName="Table_12" id="1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5" showColumnStripes="0" showFirstColumn="1" showLastColumn="1" showRowStripes="1"/>
</table>
</file>

<file path=xl/tables/table13.xml><?xml version="1.0" encoding="utf-8"?>
<table xmlns="http://schemas.openxmlformats.org/spreadsheetml/2006/main" headerRowCount="0" ref="B213:G253" displayName="Table_13" id="1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6" showColumnStripes="0" showFirstColumn="1" showLastColumn="1" showRowStripes="1"/>
</table>
</file>

<file path=xl/tables/table14.xml><?xml version="1.0" encoding="utf-8"?>
<table xmlns="http://schemas.openxmlformats.org/spreadsheetml/2006/main" headerRowCount="0" ref="B255:G295" displayName="Table_14" id="14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7" showColumnStripes="0" showFirstColumn="1" showLastColumn="1" showRowStripes="1"/>
</table>
</file>

<file path=xl/tables/table15.xml><?xml version="1.0" encoding="utf-8"?>
<table xmlns="http://schemas.openxmlformats.org/spreadsheetml/2006/main" headerRowCount="0" ref="B297:G337" displayName="Table_15" id="1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8" showColumnStripes="0" showFirstColumn="1" showLastColumn="1" showRowStripes="1"/>
</table>
</file>

<file path=xl/tables/table16.xml><?xml version="1.0" encoding="utf-8"?>
<table xmlns="http://schemas.openxmlformats.org/spreadsheetml/2006/main" headerRowCount="0" ref="B339:G379" displayName="Table_16" id="1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9" showColumnStripes="0" showFirstColumn="1" showLastColumn="1" showRowStripes="1"/>
</table>
</file>

<file path=xl/tables/table17.xml><?xml version="1.0" encoding="utf-8"?>
<table xmlns="http://schemas.openxmlformats.org/spreadsheetml/2006/main" headerRowCount="0" ref="B381:G421" displayName="Table_17" id="1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0" showColumnStripes="0" showFirstColumn="1" showLastColumn="1" showRowStripes="1"/>
</table>
</file>

<file path=xl/tables/table18.xml><?xml version="1.0" encoding="utf-8"?>
<table xmlns="http://schemas.openxmlformats.org/spreadsheetml/2006/main" headerRowCount="0" ref="B423:G463" displayName="Table_18" id="1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1" showColumnStripes="0" showFirstColumn="1" showLastColumn="1" showRowStripes="1"/>
</table>
</file>

<file path=xl/tables/table19.xml><?xml version="1.0" encoding="utf-8"?>
<table xmlns="http://schemas.openxmlformats.org/spreadsheetml/2006/main" headerRowCount="0" ref="B465:G505" displayName="Table_19" id="1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12" showColumnStripes="0" showFirstColumn="1" showLastColumn="1" showRowStripes="1"/>
</table>
</file>

<file path=xl/tables/table2.xml><?xml version="1.0" encoding="utf-8"?>
<table xmlns="http://schemas.openxmlformats.org/spreadsheetml/2006/main" headerRowCount="0" ref="B36:U40" display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Inicio-style 2" showColumnStripes="0" showFirstColumn="1" showLastColumn="1" showRowStripes="1"/>
</table>
</file>

<file path=xl/tables/table20.xml><?xml version="1.0" encoding="utf-8"?>
<table xmlns="http://schemas.openxmlformats.org/spreadsheetml/2006/main" ref="J2:R43" displayName="Table_20" id="20">
  <tableColumns count="9">
    <tableColumn name="Mês" id="1"/>
    <tableColumn name="ID" id="2"/>
    <tableColumn name="Categoria" id="3"/>
    <tableColumn name="Dia" id="4"/>
    <tableColumn name="Descrição" id="5"/>
    <tableColumn name="Valor total" id="6"/>
    <tableColumn name="Parcelas" id="7"/>
    <tableColumn name="V/ parcela" id="8"/>
    <tableColumn name="Cartão" id="9"/>
  </tableColumns>
  <tableStyleInfo name="Saída-style" showColumnStripes="0" showFirstColumn="1" showLastColumn="1" showRowStripes="1"/>
</table>
</file>

<file path=xl/tables/table21.xml><?xml version="1.0" encoding="utf-8"?>
<table xmlns="http://schemas.openxmlformats.org/spreadsheetml/2006/main" headerRowCount="0" ref="B3:H43" displayName="Table_21" id="2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" showColumnStripes="0" showFirstColumn="1" showLastColumn="1" showRowStripes="1"/>
</table>
</file>

<file path=xl/tables/table22.xml><?xml version="1.0" encoding="utf-8"?>
<table xmlns="http://schemas.openxmlformats.org/spreadsheetml/2006/main" headerRowCount="0" ref="Z12:AC12" displayName="Table_22" id="22">
  <tableColumns count="4">
    <tableColumn name="Column1" id="1"/>
    <tableColumn name="Column2" id="2"/>
    <tableColumn name="Column3" id="3"/>
    <tableColumn name="Column4" id="4"/>
  </tableColumns>
  <tableStyleInfo name="Saída-style 3" showColumnStripes="0" showFirstColumn="1" showLastColumn="1" showRowStripes="1"/>
</table>
</file>

<file path=xl/tables/table23.xml><?xml version="1.0" encoding="utf-8"?>
<table xmlns="http://schemas.openxmlformats.org/spreadsheetml/2006/main" headerRowCount="0" ref="B45:H85" displayName="Table_23" id="2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4" showColumnStripes="0" showFirstColumn="1" showLastColumn="1" showRowStripes="1"/>
</table>
</file>

<file path=xl/tables/table24.xml><?xml version="1.0" encoding="utf-8"?>
<table xmlns="http://schemas.openxmlformats.org/spreadsheetml/2006/main" headerRowCount="0" ref="J45:R85" displayName="Table_24" id="2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5" showColumnStripes="0" showFirstColumn="1" showLastColumn="1" showRowStripes="1"/>
</table>
</file>

<file path=xl/tables/table25.xml><?xml version="1.0" encoding="utf-8"?>
<table xmlns="http://schemas.openxmlformats.org/spreadsheetml/2006/main" headerRowCount="0" ref="B87:H127" displayName="Table_25" id="2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6" showColumnStripes="0" showFirstColumn="1" showLastColumn="1" showRowStripes="1"/>
</table>
</file>

<file path=xl/tables/table26.xml><?xml version="1.0" encoding="utf-8"?>
<table xmlns="http://schemas.openxmlformats.org/spreadsheetml/2006/main" headerRowCount="0" ref="J87:R127" displayName="Table_26" id="2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7" showColumnStripes="0" showFirstColumn="1" showLastColumn="1" showRowStripes="1"/>
</table>
</file>

<file path=xl/tables/table27.xml><?xml version="1.0" encoding="utf-8"?>
<table xmlns="http://schemas.openxmlformats.org/spreadsheetml/2006/main" headerRowCount="0" ref="B129:H169" displayName="Table_27" id="2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8" showColumnStripes="0" showFirstColumn="1" showLastColumn="1" showRowStripes="1"/>
</table>
</file>

<file path=xl/tables/table28.xml><?xml version="1.0" encoding="utf-8"?>
<table xmlns="http://schemas.openxmlformats.org/spreadsheetml/2006/main" headerRowCount="0" ref="J129:R169" displayName="Table_28" id="2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9" showColumnStripes="0" showFirstColumn="1" showLastColumn="1" showRowStripes="1"/>
</table>
</file>

<file path=xl/tables/table29.xml><?xml version="1.0" encoding="utf-8"?>
<table xmlns="http://schemas.openxmlformats.org/spreadsheetml/2006/main" headerRowCount="0" ref="B171:H211" displayName="Table_29" id="2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0" showColumnStripes="0" showFirstColumn="1" showLastColumn="1" showRowStripes="1"/>
</table>
</file>

<file path=xl/tables/table3.xml><?xml version="1.0" encoding="utf-8"?>
<table xmlns="http://schemas.openxmlformats.org/spreadsheetml/2006/main" headerRowCount="0" ref="A3:N21" displayName="Table_3" id="3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Resum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headerRowCount="0" ref="J171:R211" displayName="Table_30" id="3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1" showColumnStripes="0" showFirstColumn="1" showLastColumn="1" showRowStripes="1"/>
</table>
</file>

<file path=xl/tables/table31.xml><?xml version="1.0" encoding="utf-8"?>
<table xmlns="http://schemas.openxmlformats.org/spreadsheetml/2006/main" headerRowCount="0" ref="B213:H253" displayName="Table_31" id="3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2" showColumnStripes="0" showFirstColumn="1" showLastColumn="1" showRowStripes="1"/>
</table>
</file>

<file path=xl/tables/table32.xml><?xml version="1.0" encoding="utf-8"?>
<table xmlns="http://schemas.openxmlformats.org/spreadsheetml/2006/main" headerRowCount="0" ref="J213:R253" displayName="Table_32" id="3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3" showColumnStripes="0" showFirstColumn="1" showLastColumn="1" showRowStripes="1"/>
</table>
</file>

<file path=xl/tables/table33.xml><?xml version="1.0" encoding="utf-8"?>
<table xmlns="http://schemas.openxmlformats.org/spreadsheetml/2006/main" headerRowCount="0" ref="B255:H295" displayName="Table_33" id="3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4" showColumnStripes="0" showFirstColumn="1" showLastColumn="1" showRowStripes="1"/>
</table>
</file>

<file path=xl/tables/table34.xml><?xml version="1.0" encoding="utf-8"?>
<table xmlns="http://schemas.openxmlformats.org/spreadsheetml/2006/main" headerRowCount="0" ref="J255:R295" displayName="Table_34" id="3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5" showColumnStripes="0" showFirstColumn="1" showLastColumn="1" showRowStripes="1"/>
</table>
</file>

<file path=xl/tables/table35.xml><?xml version="1.0" encoding="utf-8"?>
<table xmlns="http://schemas.openxmlformats.org/spreadsheetml/2006/main" headerRowCount="0" ref="B297:H337" displayName="Table_35" id="3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6" showColumnStripes="0" showFirstColumn="1" showLastColumn="1" showRowStripes="1"/>
</table>
</file>

<file path=xl/tables/table36.xml><?xml version="1.0" encoding="utf-8"?>
<table xmlns="http://schemas.openxmlformats.org/spreadsheetml/2006/main" headerRowCount="0" ref="J297:R337" displayName="Table_36" id="3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7" showColumnStripes="0" showFirstColumn="1" showLastColumn="1" showRowStripes="1"/>
</table>
</file>

<file path=xl/tables/table37.xml><?xml version="1.0" encoding="utf-8"?>
<table xmlns="http://schemas.openxmlformats.org/spreadsheetml/2006/main" headerRowCount="0" ref="B339:H379" displayName="Table_37" id="3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18" showColumnStripes="0" showFirstColumn="1" showLastColumn="1" showRowStripes="1"/>
</table>
</file>

<file path=xl/tables/table38.xml><?xml version="1.0" encoding="utf-8"?>
<table xmlns="http://schemas.openxmlformats.org/spreadsheetml/2006/main" headerRowCount="0" ref="J339:R379" displayName="Table_38" id="3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19" showColumnStripes="0" showFirstColumn="1" showLastColumn="1" showRowStripes="1"/>
</table>
</file>

<file path=xl/tables/table39.xml><?xml version="1.0" encoding="utf-8"?>
<table xmlns="http://schemas.openxmlformats.org/spreadsheetml/2006/main" headerRowCount="0" ref="B381:H421" displayName="Table_39" id="39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0" showColumnStripes="0" showFirstColumn="1" showLastColumn="1" showRowStripes="1"/>
</table>
</file>

<file path=xl/tables/table4.xml><?xml version="1.0" encoding="utf-8"?>
<table xmlns="http://schemas.openxmlformats.org/spreadsheetml/2006/main" headerRowCount="0" ref="A24:N42" displayName="Table_4" id="4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Resumo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headerRowCount="0" ref="J381:R421" displayName="Table_40" id="4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1" showColumnStripes="0" showFirstColumn="1" showLastColumn="1" showRowStripes="1"/>
</table>
</file>

<file path=xl/tables/table41.xml><?xml version="1.0" encoding="utf-8"?>
<table xmlns="http://schemas.openxmlformats.org/spreadsheetml/2006/main" headerRowCount="0" ref="B423:H463" displayName="Table_41" id="4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2" showColumnStripes="0" showFirstColumn="1" showLastColumn="1" showRowStripes="1"/>
</table>
</file>

<file path=xl/tables/table42.xml><?xml version="1.0" encoding="utf-8"?>
<table xmlns="http://schemas.openxmlformats.org/spreadsheetml/2006/main" headerRowCount="0" ref="J423:R463" displayName="Table_42" id="4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3" showColumnStripes="0" showFirstColumn="1" showLastColumn="1" showRowStripes="1"/>
</table>
</file>

<file path=xl/tables/table43.xml><?xml version="1.0" encoding="utf-8"?>
<table xmlns="http://schemas.openxmlformats.org/spreadsheetml/2006/main" headerRowCount="0" ref="B465:H505" displayName="Table_43" id="4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aída-style 24" showColumnStripes="0" showFirstColumn="1" showLastColumn="1" showRowStripes="1"/>
</table>
</file>

<file path=xl/tables/table44.xml><?xml version="1.0" encoding="utf-8"?>
<table xmlns="http://schemas.openxmlformats.org/spreadsheetml/2006/main" headerRowCount="0" ref="J465:R505" displayName="Table_44" id="44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aída-style 25" showColumnStripes="0" showFirstColumn="1" showLastColumn="1" showRowStripes="1"/>
</table>
</file>

<file path=xl/tables/table45.xml><?xml version="1.0" encoding="utf-8"?>
<table xmlns="http://schemas.openxmlformats.org/spreadsheetml/2006/main" ref="B2:I43" displayName="Table_45" id="45">
  <tableColumns count="8">
    <tableColumn name="Categoria" id="1"/>
    <tableColumn name="Dia" id="2"/>
    <tableColumn name="Descrição" id="3"/>
    <tableColumn name="Valor" id="4"/>
    <tableColumn name="Origem" id="5"/>
    <tableColumn name="Destino" id="6"/>
    <tableColumn name="Cód. Origem" id="7"/>
    <tableColumn name="Cód. Destino" id="8"/>
  </tableColumns>
  <tableStyleInfo name="Movimentação-style" showColumnStripes="0" showFirstColumn="1" showLastColumn="1" showRowStripes="1"/>
</table>
</file>

<file path=xl/tables/table46.xml><?xml version="1.0" encoding="utf-8"?>
<table xmlns="http://schemas.openxmlformats.org/spreadsheetml/2006/main" headerRowCount="0" ref="B45:I85" displayName="Table_46" id="4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2" showColumnStripes="0" showFirstColumn="1" showLastColumn="1" showRowStripes="1"/>
</table>
</file>

<file path=xl/tables/table47.xml><?xml version="1.0" encoding="utf-8"?>
<table xmlns="http://schemas.openxmlformats.org/spreadsheetml/2006/main" headerRowCount="0" ref="B87:I127" displayName="Table_47" id="47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3" showColumnStripes="0" showFirstColumn="1" showLastColumn="1" showRowStripes="1"/>
</table>
</file>

<file path=xl/tables/table48.xml><?xml version="1.0" encoding="utf-8"?>
<table xmlns="http://schemas.openxmlformats.org/spreadsheetml/2006/main" headerRowCount="0" ref="B129:I169" displayName="Table_48" id="4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4" showColumnStripes="0" showFirstColumn="1" showLastColumn="1" showRowStripes="1"/>
</table>
</file>

<file path=xl/tables/table49.xml><?xml version="1.0" encoding="utf-8"?>
<table xmlns="http://schemas.openxmlformats.org/spreadsheetml/2006/main" headerRowCount="0" ref="B171:I211" displayName="Table_49" id="4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5" showColumnStripes="0" showFirstColumn="1" showLastColumn="1" showRowStripes="1"/>
</table>
</file>

<file path=xl/tables/table5.xml><?xml version="1.0" encoding="utf-8"?>
<table xmlns="http://schemas.openxmlformats.org/spreadsheetml/2006/main" ref="B12:C52" displayName="Table_5" id="5">
  <tableColumns count="2">
    <tableColumn name="Tipo" id="1"/>
    <tableColumn name="Código" id="2"/>
  </tableColumns>
  <tableStyleInfo name="Tabelas-style" showColumnStripes="0" showFirstColumn="1" showLastColumn="1" showRowStripes="1"/>
</table>
</file>

<file path=xl/tables/table50.xml><?xml version="1.0" encoding="utf-8"?>
<table xmlns="http://schemas.openxmlformats.org/spreadsheetml/2006/main" headerRowCount="0" ref="B213:I253" displayName="Table_50" id="5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6" showColumnStripes="0" showFirstColumn="1" showLastColumn="1" showRowStripes="1"/>
</table>
</file>

<file path=xl/tables/table51.xml><?xml version="1.0" encoding="utf-8"?>
<table xmlns="http://schemas.openxmlformats.org/spreadsheetml/2006/main" headerRowCount="0" ref="B255:I295" displayName="Table_51" id="5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7" showColumnStripes="0" showFirstColumn="1" showLastColumn="1" showRowStripes="1"/>
</table>
</file>

<file path=xl/tables/table52.xml><?xml version="1.0" encoding="utf-8"?>
<table xmlns="http://schemas.openxmlformats.org/spreadsheetml/2006/main" headerRowCount="0" ref="B297:I337" displayName="Table_52" id="5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8" showColumnStripes="0" showFirstColumn="1" showLastColumn="1" showRowStripes="1"/>
</table>
</file>

<file path=xl/tables/table53.xml><?xml version="1.0" encoding="utf-8"?>
<table xmlns="http://schemas.openxmlformats.org/spreadsheetml/2006/main" headerRowCount="0" ref="B339:I379" displayName="Table_53" id="53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9" showColumnStripes="0" showFirstColumn="1" showLastColumn="1" showRowStripes="1"/>
</table>
</file>

<file path=xl/tables/table54.xml><?xml version="1.0" encoding="utf-8"?>
<table xmlns="http://schemas.openxmlformats.org/spreadsheetml/2006/main" headerRowCount="0" ref="B381:I421" displayName="Table_54" id="5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0" showColumnStripes="0" showFirstColumn="1" showLastColumn="1" showRowStripes="1"/>
</table>
</file>

<file path=xl/tables/table55.xml><?xml version="1.0" encoding="utf-8"?>
<table xmlns="http://schemas.openxmlformats.org/spreadsheetml/2006/main" headerRowCount="0" ref="B423:I463" displayName="Table_55" id="5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1" showColumnStripes="0" showFirstColumn="1" showLastColumn="1" showRowStripes="1"/>
</table>
</file>

<file path=xl/tables/table56.xml><?xml version="1.0" encoding="utf-8"?>
<table xmlns="http://schemas.openxmlformats.org/spreadsheetml/2006/main" headerRowCount="0" ref="B465:I505" displayName="Table_56" id="56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ovimentação-style 12" showColumnStripes="0" showFirstColumn="1" showLastColumn="1" showRowStripes="1"/>
</table>
</file>

<file path=xl/tables/table57.xml><?xml version="1.0" encoding="utf-8"?>
<table xmlns="http://schemas.openxmlformats.org/spreadsheetml/2006/main" ref="AC4:AJ24" displayName="Table_57" id="57">
  <tableColumns count="8">
    <tableColumn name="Mês" id="1"/>
    <tableColumn name="ID" id="2"/>
    <tableColumn name="Dia" id="3"/>
    <tableColumn name="Descrição" id="4"/>
    <tableColumn name="Valor total" id="5"/>
    <tableColumn name="Parcelas" id="6"/>
    <tableColumn name="V/ parcela" id="7"/>
    <tableColumn name="Cartão" id="8"/>
  </tableColumns>
  <tableStyleInfo name="Cartões-style" showColumnStripes="0" showFirstColumn="1" showLastColumn="1" showRowStripes="1"/>
</table>
</file>

<file path=xl/tables/table58.xml><?xml version="1.0" encoding="utf-8"?>
<table xmlns="http://schemas.openxmlformats.org/spreadsheetml/2006/main" headerRowCount="0" ref="D27:AA176" displayName="Table_58" id="58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Cartõ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headerRowCount="0" ref="AC27:AJ28" displayName="Table_59" id="59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artõe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E12:F52" displayName="Table_6" id="6">
  <tableColumns count="2">
    <tableColumn name="Tipo" id="1"/>
    <tableColumn name="Código" id="2"/>
  </tableColumns>
  <tableStyleInfo name="Tabelas-style 2" showColumnStripes="0" showFirstColumn="1" showLastColumn="1" showRowStripes="1"/>
</table>
</file>

<file path=xl/tables/table60.xml><?xml version="1.0" encoding="utf-8"?>
<table xmlns="http://schemas.openxmlformats.org/spreadsheetml/2006/main" headerRowCount="0" ref="A179:AA201" displayName="Table_60" id="60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artõe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H12:I52" displayName="Table_7" id="7">
  <tableColumns count="2">
    <tableColumn name="Tipo" id="1"/>
    <tableColumn name="Código" id="2"/>
  </tableColumns>
  <tableStyleInfo name="Tabelas-style 3" showColumnStripes="0" showFirstColumn="1" showLastColumn="1" showRowStripes="1"/>
</table>
</file>

<file path=xl/tables/table8.xml><?xml version="1.0" encoding="utf-8"?>
<table xmlns="http://schemas.openxmlformats.org/spreadsheetml/2006/main" ref="B2:G43" displayName="Table_8" id="8">
  <tableColumns count="6">
    <tableColumn name="Categoria" id="1"/>
    <tableColumn name="Dia" id="2"/>
    <tableColumn name="Descrição" id="3"/>
    <tableColumn name="Valor" id="4"/>
    <tableColumn name="Destino" id="5"/>
    <tableColumn name="Código" id="6"/>
  </tableColumns>
  <tableStyleInfo name="Entrada-style" showColumnStripes="0" showFirstColumn="1" showLastColumn="1" showRowStripes="1"/>
</table>
</file>

<file path=xl/tables/table9.xml><?xml version="1.0" encoding="utf-8"?>
<table xmlns="http://schemas.openxmlformats.org/spreadsheetml/2006/main" headerRowCount="0" ref="B45:G85" displayName="Table_9" id="9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Entrada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4.xml"/><Relationship Id="rId22" Type="http://schemas.openxmlformats.org/officeDocument/2006/relationships/table" Target="../tables/table16.xml"/><Relationship Id="rId21" Type="http://schemas.openxmlformats.org/officeDocument/2006/relationships/table" Target="../tables/table15.xml"/><Relationship Id="rId24" Type="http://schemas.openxmlformats.org/officeDocument/2006/relationships/table" Target="../tables/table18.xml"/><Relationship Id="rId23" Type="http://schemas.openxmlformats.org/officeDocument/2006/relationships/table" Target="../tables/table17.xml"/><Relationship Id="rId1" Type="http://schemas.openxmlformats.org/officeDocument/2006/relationships/drawing" Target="../drawings/drawing4.xml"/><Relationship Id="rId15" Type="http://schemas.openxmlformats.org/officeDocument/2006/relationships/table" Target="../tables/table9.xml"/><Relationship Id="rId14" Type="http://schemas.openxmlformats.org/officeDocument/2006/relationships/table" Target="../tables/table8.xml"/><Relationship Id="rId25" Type="http://schemas.openxmlformats.org/officeDocument/2006/relationships/table" Target="../tables/table19.xml"/><Relationship Id="rId17" Type="http://schemas.openxmlformats.org/officeDocument/2006/relationships/table" Target="../tables/table11.xml"/><Relationship Id="rId16" Type="http://schemas.openxmlformats.org/officeDocument/2006/relationships/table" Target="../tables/table10.xml"/><Relationship Id="rId19" Type="http://schemas.openxmlformats.org/officeDocument/2006/relationships/table" Target="../tables/table13.xml"/><Relationship Id="rId18" Type="http://schemas.openxmlformats.org/officeDocument/2006/relationships/table" Target="../tables/table12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table" Target="../tables/table33.xml"/><Relationship Id="rId42" Type="http://schemas.openxmlformats.org/officeDocument/2006/relationships/table" Target="../tables/table35.xml"/><Relationship Id="rId41" Type="http://schemas.openxmlformats.org/officeDocument/2006/relationships/table" Target="../tables/table34.xml"/><Relationship Id="rId44" Type="http://schemas.openxmlformats.org/officeDocument/2006/relationships/table" Target="../tables/table37.xml"/><Relationship Id="rId43" Type="http://schemas.openxmlformats.org/officeDocument/2006/relationships/table" Target="../tables/table36.xml"/><Relationship Id="rId46" Type="http://schemas.openxmlformats.org/officeDocument/2006/relationships/table" Target="../tables/table39.xml"/><Relationship Id="rId45" Type="http://schemas.openxmlformats.org/officeDocument/2006/relationships/table" Target="../tables/table38.xml"/><Relationship Id="rId1" Type="http://schemas.openxmlformats.org/officeDocument/2006/relationships/drawing" Target="../drawings/drawing5.xml"/><Relationship Id="rId48" Type="http://schemas.openxmlformats.org/officeDocument/2006/relationships/table" Target="../tables/table41.xml"/><Relationship Id="rId47" Type="http://schemas.openxmlformats.org/officeDocument/2006/relationships/table" Target="../tables/table40.xml"/><Relationship Id="rId28" Type="http://schemas.openxmlformats.org/officeDocument/2006/relationships/table" Target="../tables/table21.xml"/><Relationship Id="rId27" Type="http://schemas.openxmlformats.org/officeDocument/2006/relationships/table" Target="../tables/table20.xml"/><Relationship Id="rId49" Type="http://schemas.openxmlformats.org/officeDocument/2006/relationships/table" Target="../tables/table42.xml"/><Relationship Id="rId29" Type="http://schemas.openxmlformats.org/officeDocument/2006/relationships/table" Target="../tables/table22.xml"/><Relationship Id="rId51" Type="http://schemas.openxmlformats.org/officeDocument/2006/relationships/table" Target="../tables/table44.xml"/><Relationship Id="rId50" Type="http://schemas.openxmlformats.org/officeDocument/2006/relationships/table" Target="../tables/table43.xml"/><Relationship Id="rId31" Type="http://schemas.openxmlformats.org/officeDocument/2006/relationships/table" Target="../tables/table24.xml"/><Relationship Id="rId30" Type="http://schemas.openxmlformats.org/officeDocument/2006/relationships/table" Target="../tables/table23.xml"/><Relationship Id="rId33" Type="http://schemas.openxmlformats.org/officeDocument/2006/relationships/table" Target="../tables/table26.xml"/><Relationship Id="rId32" Type="http://schemas.openxmlformats.org/officeDocument/2006/relationships/table" Target="../tables/table25.xml"/><Relationship Id="rId35" Type="http://schemas.openxmlformats.org/officeDocument/2006/relationships/table" Target="../tables/table28.xml"/><Relationship Id="rId34" Type="http://schemas.openxmlformats.org/officeDocument/2006/relationships/table" Target="../tables/table27.xml"/><Relationship Id="rId37" Type="http://schemas.openxmlformats.org/officeDocument/2006/relationships/table" Target="../tables/table30.xml"/><Relationship Id="rId36" Type="http://schemas.openxmlformats.org/officeDocument/2006/relationships/table" Target="../tables/table29.xml"/><Relationship Id="rId39" Type="http://schemas.openxmlformats.org/officeDocument/2006/relationships/table" Target="../tables/table32.xml"/><Relationship Id="rId38" Type="http://schemas.openxmlformats.org/officeDocument/2006/relationships/table" Target="../tables/table31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1.xml"/><Relationship Id="rId22" Type="http://schemas.openxmlformats.org/officeDocument/2006/relationships/table" Target="../tables/table53.xml"/><Relationship Id="rId21" Type="http://schemas.openxmlformats.org/officeDocument/2006/relationships/table" Target="../tables/table52.xml"/><Relationship Id="rId24" Type="http://schemas.openxmlformats.org/officeDocument/2006/relationships/table" Target="../tables/table55.xml"/><Relationship Id="rId23" Type="http://schemas.openxmlformats.org/officeDocument/2006/relationships/table" Target="../tables/table54.xml"/><Relationship Id="rId1" Type="http://schemas.openxmlformats.org/officeDocument/2006/relationships/drawing" Target="../drawings/drawing6.xml"/><Relationship Id="rId25" Type="http://schemas.openxmlformats.org/officeDocument/2006/relationships/table" Target="../tables/table56.xml"/><Relationship Id="rId15" Type="http://schemas.openxmlformats.org/officeDocument/2006/relationships/table" Target="../tables/table46.xml"/><Relationship Id="rId14" Type="http://schemas.openxmlformats.org/officeDocument/2006/relationships/table" Target="../tables/table45.xml"/><Relationship Id="rId17" Type="http://schemas.openxmlformats.org/officeDocument/2006/relationships/table" Target="../tables/table48.xml"/><Relationship Id="rId16" Type="http://schemas.openxmlformats.org/officeDocument/2006/relationships/table" Target="../tables/table47.xml"/><Relationship Id="rId19" Type="http://schemas.openxmlformats.org/officeDocument/2006/relationships/table" Target="../tables/table50.xml"/><Relationship Id="rId18" Type="http://schemas.openxmlformats.org/officeDocument/2006/relationships/table" Target="../tables/table4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9" Type="http://schemas.openxmlformats.org/officeDocument/2006/relationships/table" Target="../tables/table60.xml"/><Relationship Id="rId6" Type="http://schemas.openxmlformats.org/officeDocument/2006/relationships/table" Target="../tables/table57.xml"/><Relationship Id="rId7" Type="http://schemas.openxmlformats.org/officeDocument/2006/relationships/table" Target="../tables/table58.xml"/><Relationship Id="rId8" Type="http://schemas.openxmlformats.org/officeDocument/2006/relationships/table" Target="../tables/table5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2</v>
      </c>
      <c r="B2" s="4">
        <v>2021.0</v>
      </c>
      <c r="C2" s="5"/>
      <c r="D2" s="5"/>
      <c r="E2" s="5"/>
      <c r="F2" s="5"/>
      <c r="G2" s="5"/>
      <c r="H2" s="3"/>
      <c r="I2" s="3"/>
      <c r="J2" s="6" t="s">
        <v>3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3"/>
      <c r="B3" s="7"/>
      <c r="C3" s="3"/>
      <c r="D3" s="3"/>
      <c r="E3" s="3"/>
      <c r="F3" s="3"/>
      <c r="G3" s="3"/>
      <c r="H3" s="3"/>
      <c r="I3" s="3"/>
      <c r="J3" s="6" t="s">
        <v>4</v>
      </c>
      <c r="K3" s="6" t="s">
        <v>5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8" t="s">
        <v>6</v>
      </c>
      <c r="B4" s="9"/>
      <c r="C4" s="9"/>
      <c r="D4" s="10"/>
      <c r="E4" s="3"/>
      <c r="F4" s="11" t="s">
        <v>7</v>
      </c>
      <c r="G4" s="12"/>
      <c r="H4" s="12"/>
      <c r="I4" s="13"/>
      <c r="J4" s="3"/>
      <c r="K4" s="6" t="s">
        <v>8</v>
      </c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5"/>
      <c r="B5" s="16" t="s">
        <v>9</v>
      </c>
      <c r="C5" s="16" t="s">
        <v>10</v>
      </c>
      <c r="D5" s="16" t="s">
        <v>11</v>
      </c>
      <c r="E5" s="14"/>
      <c r="F5" s="17"/>
      <c r="G5" s="16" t="s">
        <v>12</v>
      </c>
      <c r="H5" s="11" t="s">
        <v>11</v>
      </c>
      <c r="I5" s="13"/>
      <c r="J5" s="3"/>
      <c r="K5" s="6" t="s">
        <v>13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8">
        <v>1.0</v>
      </c>
      <c r="B6" s="19" t="s">
        <v>14</v>
      </c>
      <c r="C6" s="20" t="s">
        <v>15</v>
      </c>
      <c r="D6" s="20" t="s">
        <v>16</v>
      </c>
      <c r="E6" s="21"/>
      <c r="F6" s="22">
        <v>1.0</v>
      </c>
      <c r="G6" s="23" t="s">
        <v>14</v>
      </c>
      <c r="H6" s="24" t="s">
        <v>17</v>
      </c>
      <c r="I6" s="2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8">
        <v>2.0</v>
      </c>
      <c r="B7" s="20" t="s">
        <v>14</v>
      </c>
      <c r="C7" s="20" t="s">
        <v>18</v>
      </c>
      <c r="D7" s="20" t="s">
        <v>19</v>
      </c>
      <c r="E7" s="21"/>
      <c r="F7" s="26">
        <v>2.0</v>
      </c>
      <c r="G7" s="20" t="s">
        <v>20</v>
      </c>
      <c r="H7" s="25" t="s">
        <v>21</v>
      </c>
      <c r="I7" s="25"/>
      <c r="J7" s="27" t="s">
        <v>22</v>
      </c>
      <c r="K7" s="6" t="s">
        <v>23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8">
        <v>3.0</v>
      </c>
      <c r="B8" s="20" t="s">
        <v>24</v>
      </c>
      <c r="C8" s="20" t="s">
        <v>25</v>
      </c>
      <c r="D8" s="20" t="s">
        <v>26</v>
      </c>
      <c r="E8" s="21"/>
      <c r="F8" s="26">
        <v>3.0</v>
      </c>
      <c r="G8" s="20" t="s">
        <v>27</v>
      </c>
      <c r="H8" s="25" t="s">
        <v>28</v>
      </c>
      <c r="I8" s="25"/>
      <c r="J8" s="21"/>
      <c r="K8" s="6" t="s">
        <v>29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8">
        <v>4.0</v>
      </c>
      <c r="B9" s="20" t="s">
        <v>30</v>
      </c>
      <c r="C9" s="20" t="s">
        <v>15</v>
      </c>
      <c r="D9" s="20" t="s">
        <v>31</v>
      </c>
      <c r="E9" s="21"/>
      <c r="F9" s="26">
        <v>4.0</v>
      </c>
      <c r="G9" s="28"/>
      <c r="H9" s="25"/>
      <c r="I9" s="25"/>
      <c r="J9" s="2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8">
        <v>5.0</v>
      </c>
      <c r="B10" s="20" t="s">
        <v>32</v>
      </c>
      <c r="C10" s="20" t="s">
        <v>33</v>
      </c>
      <c r="D10" s="20" t="s">
        <v>34</v>
      </c>
      <c r="E10" s="21"/>
      <c r="F10" s="26">
        <v>5.0</v>
      </c>
      <c r="G10" s="28"/>
      <c r="H10" s="29"/>
      <c r="I10" s="29"/>
      <c r="J10" s="27" t="s">
        <v>35</v>
      </c>
      <c r="K10" s="6" t="s">
        <v>36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8">
        <v>6.0</v>
      </c>
      <c r="B11" s="20" t="s">
        <v>37</v>
      </c>
      <c r="C11" s="20" t="s">
        <v>38</v>
      </c>
      <c r="D11" s="20" t="s">
        <v>39</v>
      </c>
      <c r="E11" s="21"/>
      <c r="F11" s="26">
        <v>6.0</v>
      </c>
      <c r="G11" s="30"/>
      <c r="H11" s="29"/>
      <c r="I11" s="29"/>
      <c r="J11" s="21"/>
      <c r="K11" s="6" t="s">
        <v>40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8">
        <v>7.0</v>
      </c>
      <c r="B12" s="20" t="s">
        <v>41</v>
      </c>
      <c r="C12" s="20" t="s">
        <v>38</v>
      </c>
      <c r="D12" s="20" t="s">
        <v>42</v>
      </c>
      <c r="E12" s="21"/>
      <c r="F12" s="26">
        <v>7.0</v>
      </c>
      <c r="G12" s="30"/>
      <c r="H12" s="29"/>
      <c r="I12" s="29"/>
      <c r="J12" s="21"/>
      <c r="K12" s="6" t="s">
        <v>43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8">
        <v>8.0</v>
      </c>
      <c r="B13" s="30"/>
      <c r="C13" s="30"/>
      <c r="D13" s="30"/>
      <c r="E13" s="21"/>
      <c r="F13" s="26">
        <v>8.0</v>
      </c>
      <c r="G13" s="30"/>
      <c r="H13" s="29"/>
      <c r="I13" s="29"/>
      <c r="J13" s="21"/>
      <c r="K13" s="31" t="s">
        <v>44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8">
        <v>9.0</v>
      </c>
      <c r="B14" s="30"/>
      <c r="C14" s="30"/>
      <c r="D14" s="30"/>
      <c r="E14" s="21"/>
      <c r="F14" s="26">
        <v>9.0</v>
      </c>
      <c r="G14" s="30"/>
      <c r="H14" s="29"/>
      <c r="I14" s="29"/>
      <c r="J14" s="21"/>
      <c r="K14" s="6" t="s">
        <v>45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8">
        <v>10.0</v>
      </c>
      <c r="B15" s="30"/>
      <c r="C15" s="30"/>
      <c r="D15" s="30"/>
      <c r="E15" s="21"/>
      <c r="F15" s="26">
        <v>10.0</v>
      </c>
      <c r="G15" s="30"/>
      <c r="H15" s="29"/>
      <c r="I15" s="29"/>
      <c r="J15" s="21"/>
      <c r="K15" s="6" t="s">
        <v>46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8">
        <v>11.0</v>
      </c>
      <c r="B16" s="30"/>
      <c r="C16" s="30"/>
      <c r="D16" s="30"/>
      <c r="E16" s="21"/>
      <c r="F16" s="26">
        <v>11.0</v>
      </c>
      <c r="G16" s="30"/>
      <c r="H16" s="29"/>
      <c r="I16" s="29"/>
      <c r="J16" s="2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8">
        <v>12.0</v>
      </c>
      <c r="B17" s="30"/>
      <c r="C17" s="30"/>
      <c r="D17" s="30"/>
      <c r="E17" s="21"/>
      <c r="F17" s="26">
        <v>12.0</v>
      </c>
      <c r="G17" s="30"/>
      <c r="H17" s="29"/>
      <c r="I17" s="29"/>
      <c r="J17" s="21"/>
      <c r="K17" s="32"/>
      <c r="L17" s="3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8">
        <v>13.0</v>
      </c>
      <c r="B18" s="30"/>
      <c r="C18" s="30"/>
      <c r="D18" s="30"/>
      <c r="E18" s="21"/>
      <c r="F18" s="26">
        <v>13.0</v>
      </c>
      <c r="G18" s="30"/>
      <c r="H18" s="29"/>
      <c r="I18" s="29"/>
      <c r="J18" s="21"/>
      <c r="K18" s="3"/>
      <c r="L18" s="3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8">
        <v>14.0</v>
      </c>
      <c r="B19" s="30"/>
      <c r="C19" s="30"/>
      <c r="D19" s="30"/>
      <c r="E19" s="21"/>
      <c r="F19" s="26">
        <v>14.0</v>
      </c>
      <c r="G19" s="30"/>
      <c r="H19" s="29"/>
      <c r="I19" s="29"/>
      <c r="J19" s="2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8">
        <v>15.0</v>
      </c>
      <c r="B20" s="30"/>
      <c r="C20" s="30"/>
      <c r="D20" s="30"/>
      <c r="E20" s="21"/>
      <c r="F20" s="26">
        <v>15.0</v>
      </c>
      <c r="G20" s="30"/>
      <c r="H20" s="29"/>
      <c r="I20" s="29"/>
      <c r="J20" s="21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18">
        <v>16.0</v>
      </c>
      <c r="B21" s="20"/>
      <c r="C21" s="30"/>
      <c r="D21" s="30"/>
      <c r="E21" s="21"/>
      <c r="F21" s="26">
        <v>16.0</v>
      </c>
      <c r="G21" s="30"/>
      <c r="H21" s="29"/>
      <c r="I21" s="29"/>
      <c r="J21" s="2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18">
        <v>17.0</v>
      </c>
      <c r="B22" s="30"/>
      <c r="C22" s="30"/>
      <c r="D22" s="30"/>
      <c r="E22" s="21"/>
      <c r="F22" s="26">
        <v>17.0</v>
      </c>
      <c r="G22" s="30"/>
      <c r="H22" s="29"/>
      <c r="I22" s="29"/>
      <c r="J22" s="21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8">
        <v>18.0</v>
      </c>
      <c r="B23" s="30"/>
      <c r="C23" s="30"/>
      <c r="D23" s="30"/>
      <c r="E23" s="21"/>
      <c r="F23" s="26">
        <v>18.0</v>
      </c>
      <c r="G23" s="30"/>
      <c r="H23" s="29"/>
      <c r="I23" s="29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8">
        <v>19.0</v>
      </c>
      <c r="B24" s="30"/>
      <c r="C24" s="30"/>
      <c r="D24" s="30"/>
      <c r="E24" s="21"/>
      <c r="F24" s="26">
        <v>19.0</v>
      </c>
      <c r="G24" s="30"/>
      <c r="H24" s="29"/>
      <c r="I24" s="29"/>
      <c r="J24" s="2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5">
        <v>20.0</v>
      </c>
      <c r="B25" s="36"/>
      <c r="C25" s="36"/>
      <c r="D25" s="36"/>
      <c r="E25" s="21"/>
      <c r="F25" s="37">
        <v>20.0</v>
      </c>
      <c r="G25" s="36"/>
      <c r="H25" s="38"/>
      <c r="I25" s="29"/>
      <c r="J25" s="27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9" t="s">
        <v>47</v>
      </c>
      <c r="V26" s="3"/>
      <c r="W26" s="3"/>
      <c r="X26" s="3"/>
      <c r="Y26" s="3"/>
      <c r="Z26" s="3"/>
    </row>
    <row r="27">
      <c r="V27" s="3"/>
      <c r="W27" s="3"/>
      <c r="X27" s="3"/>
      <c r="Y27" s="3"/>
      <c r="Z27" s="3"/>
    </row>
    <row r="28">
      <c r="A28" s="40" t="s">
        <v>48</v>
      </c>
      <c r="B28" s="41" t="s">
        <v>9</v>
      </c>
      <c r="V28" s="3"/>
      <c r="W28" s="3"/>
      <c r="X28" s="3"/>
      <c r="Y28" s="3"/>
      <c r="Z28" s="3"/>
    </row>
    <row r="29">
      <c r="A29" s="42"/>
      <c r="B29" s="43" t="str">
        <f>IFERROR(__xludf.DUMMYFUNCTION("transpose(query($B$6:$D$25,""select B,D"",0))"),"Nubank")</f>
        <v>Nubank</v>
      </c>
      <c r="C29" s="44" t="str">
        <f>IFERROR(__xludf.DUMMYFUNCTION("""COMPUTED_VALUE"""),"Nubank")</f>
        <v>Nubank</v>
      </c>
      <c r="D29" s="44" t="str">
        <f>IFERROR(__xludf.DUMMYFUNCTION("""COMPUTED_VALUE"""),"Carteira")</f>
        <v>Carteira</v>
      </c>
      <c r="E29" s="44" t="str">
        <f>IFERROR(__xludf.DUMMYFUNCTION("""COMPUTED_VALUE"""),"Banco Do Brasil")</f>
        <v>Banco Do Brasil</v>
      </c>
      <c r="F29" s="44" t="str">
        <f>IFERROR(__xludf.DUMMYFUNCTION("""COMPUTED_VALUE"""),"Rico")</f>
        <v>Rico</v>
      </c>
      <c r="G29" s="44" t="str">
        <f>IFERROR(__xludf.DUMMYFUNCTION("""COMPUTED_VALUE"""),"PicPay")</f>
        <v>PicPay</v>
      </c>
      <c r="H29" s="44" t="str">
        <f>IFERROR(__xludf.DUMMYFUNCTION("""COMPUTED_VALUE"""),"PagSeguro")</f>
        <v>PagSeguro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5"/>
      <c r="V29" s="3"/>
      <c r="W29" s="3"/>
      <c r="X29" s="3"/>
      <c r="Y29" s="3"/>
      <c r="Z29" s="3"/>
    </row>
    <row r="30">
      <c r="A30" s="46" t="s">
        <v>11</v>
      </c>
      <c r="B30" s="47" t="str">
        <f>IFERROR(__xludf.DUMMYFUNCTION("""COMPUTED_VALUE"""),"NU")</f>
        <v>NU</v>
      </c>
      <c r="C30" s="48" t="str">
        <f>IFERROR(__xludf.DUMMYFUNCTION("""COMPUTED_VALUE"""),"NP")</f>
        <v>NP</v>
      </c>
      <c r="D30" s="48" t="str">
        <f>IFERROR(__xludf.DUMMYFUNCTION("""COMPUTED_VALUE"""),"CT")</f>
        <v>CT</v>
      </c>
      <c r="E30" s="48" t="str">
        <f>IFERROR(__xludf.DUMMYFUNCTION("""COMPUTED_VALUE"""),"BB")</f>
        <v>BB</v>
      </c>
      <c r="F30" s="48" t="str">
        <f>IFERROR(__xludf.DUMMYFUNCTION("""COMPUTED_VALUE"""),"RC")</f>
        <v>RC</v>
      </c>
      <c r="G30" s="48" t="str">
        <f>IFERROR(__xludf.DUMMYFUNCTION("""COMPUTED_VALUE"""),"PP")</f>
        <v>PP</v>
      </c>
      <c r="H30" s="48" t="str">
        <f>IFERROR(__xludf.DUMMYFUNCTION("""COMPUTED_VALUE"""),"PS")</f>
        <v>PS</v>
      </c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9"/>
      <c r="V30" s="3"/>
      <c r="W30" s="3"/>
      <c r="X30" s="3"/>
      <c r="Y30" s="3"/>
      <c r="Z30" s="3"/>
    </row>
    <row r="31">
      <c r="A31" s="46" t="s">
        <v>49</v>
      </c>
      <c r="B31" s="50">
        <v>260.7000000000007</v>
      </c>
      <c r="C31" s="51">
        <v>600.05</v>
      </c>
      <c r="D31" s="51">
        <v>-2.2737367544323206E-13</v>
      </c>
      <c r="E31" s="51">
        <v>-3.410605131648481E-12</v>
      </c>
      <c r="F31" s="51">
        <v>4173.28</v>
      </c>
      <c r="G31" s="52">
        <v>0.0</v>
      </c>
      <c r="H31" s="52">
        <v>0.0</v>
      </c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3"/>
      <c r="V31" s="3"/>
      <c r="W31" s="3"/>
      <c r="X31" s="3"/>
      <c r="Y31" s="3"/>
      <c r="Z31" s="3"/>
    </row>
    <row r="32">
      <c r="A32" s="46" t="s">
        <v>50</v>
      </c>
      <c r="B32" s="54">
        <f>IFERROR(__xludf.DUMMYFUNCTION("if(isblank(B$30),"""",iferror(B$31+iferror(sum(query(Entrada!$E$3:$G$505,""select E where F = '""&amp;B$29&amp;""' and G = '""&amp;B$30&amp;""'"")),0)-iferror(sum(query('Saída'!$E$3:$G$505,""select E where F = '""&amp;B$29&amp;""' and G = '""&amp;B$30&amp;""'"")),0)-iferror(sum(query('M"&amp;"ovimentação'!$E$3:$I$505,""select E where F = '""&amp;B$29&amp;""' and H = '""&amp;B$30&amp;""'"")),0)+iferror(sum(query('Movimentação'!$E$3:$I$505,""select E where G = '""&amp;B$29&amp;""' and I = '""&amp;B$30&amp;""'"")),0),0))"),367.16000000000895)</f>
        <v>367.16</v>
      </c>
      <c r="C32" s="55">
        <f>IFERROR(__xludf.DUMMYFUNCTION("if(isblank(C$30),"""",iferror(C$31+iferror(sum(query(Entrada!$E$3:$G$505,""select E where F = '""&amp;C$29&amp;""' and G = '""&amp;C$30&amp;""'"")),0)-iferror(sum(query('Saída'!$E$3:$G$505,""select E where F = '""&amp;C$29&amp;""' and G = '""&amp;C$30&amp;""'"")),0)-iferror(sum(query('M"&amp;"ovimentação'!$E$3:$I$505,""select E where F = '""&amp;C$29&amp;""' and H = '""&amp;C$30&amp;""'"")),0)+iferror(sum(query('Movimentação'!$E$3:$I$505,""select E where G = '""&amp;C$29&amp;""' and I = '""&amp;C$30&amp;""'"")),0),0))"),0.0)</f>
        <v>0</v>
      </c>
      <c r="D32" s="55">
        <f>IFERROR(__xludf.DUMMYFUNCTION("if(isblank(D$30),"""",iferror(D$31+iferror(sum(query(Entrada!$E$3:$G$505,""select E where F = '""&amp;D$29&amp;""' and G = '""&amp;D$30&amp;""'"")),0)-iferror(sum(query('Saída'!$E$3:$G$505,""select E where F = '""&amp;D$29&amp;""' and G = '""&amp;D$30&amp;""'"")),0)-iferror(sum(query('M"&amp;"ovimentação'!$E$3:$I$505,""select E where F = '""&amp;D$29&amp;""' and H = '""&amp;D$30&amp;""'"")),0)+iferror(sum(query('Movimentação'!$E$3:$I$505,""select E where G = '""&amp;D$29&amp;""' and I = '""&amp;D$30&amp;""'"")),0),0))"),112.0)</f>
        <v>112</v>
      </c>
      <c r="E32" s="55">
        <f>IFERROR(__xludf.DUMMYFUNCTION("if(isblank(E$30),"""",iferror(E$31+iferror(sum(query(Entrada!$E$3:$G$505,""select E where F = '""&amp;E$29&amp;""' and G = '""&amp;E$30&amp;""'"")),0)-iferror(sum(query('Saída'!$E$3:$G$505,""select E where F = '""&amp;E$29&amp;""' and G = '""&amp;E$30&amp;""'"")),0)-iferror(sum(query('M"&amp;"ovimentação'!$E$3:$I$505,""select E where F = '""&amp;E$29&amp;""' and H = '""&amp;E$30&amp;""'"")),0)+iferror(sum(query('Movimentação'!$E$3:$I$505,""select E where G = '""&amp;E$29&amp;""' and I = '""&amp;E$30&amp;""'"")),0),0))"),3999.9999999999964)</f>
        <v>4000</v>
      </c>
      <c r="F32" s="55">
        <f>IFERROR(__xludf.DUMMYFUNCTION("if(isblank(F$30),"""",iferror(F$31+iferror(sum(query(Entrada!$E$3:$G$505,""select E where F = '""&amp;F$29&amp;""' and G = '""&amp;F$30&amp;""'"")),0)-iferror(sum(query('Saída'!$E$3:$G$505,""select E where F = '""&amp;F$29&amp;""' and G = '""&amp;F$30&amp;""'"")),0)-iferror(sum(query('M"&amp;"ovimentação'!$E$3:$I$505,""select E where F = '""&amp;F$29&amp;""' and H = '""&amp;F$30&amp;""'"")),0)+iferror(sum(query('Movimentação'!$E$3:$I$505,""select E where G = '""&amp;F$29&amp;""' and I = '""&amp;F$30&amp;""'"")),0),0))"),6361.84)</f>
        <v>6361.84</v>
      </c>
      <c r="G32" s="55">
        <f>IFERROR(__xludf.DUMMYFUNCTION("if(isblank(G$30),"""",iferror(G$31+iferror(sum(query(Entrada!$E$3:$G$505,""select E where F = '""&amp;G$29&amp;""' and G = '""&amp;G$30&amp;""'"")),0)-iferror(sum(query('Saída'!$E$3:$G$505,""select E where F = '""&amp;G$29&amp;""' and G = '""&amp;G$30&amp;""'"")),0)-iferror(sum(query('M"&amp;"ovimentação'!$E$3:$I$505,""select E where F = '""&amp;G$29&amp;""' and H = '""&amp;G$30&amp;""'"")),0)+iferror(sum(query('Movimentação'!$E$3:$I$505,""select E where G = '""&amp;G$29&amp;""' and I = '""&amp;G$30&amp;""'"")),0),0))"),0.0)</f>
        <v>0</v>
      </c>
      <c r="H32" s="55">
        <f>IFERROR(__xludf.DUMMYFUNCTION("if(isblank(H$30),"""",iferror(H$31+iferror(sum(query(Entrada!$E$3:$G$505,""select E where F = '""&amp;H$29&amp;""' and G = '""&amp;H$30&amp;""'"")),0)-iferror(sum(query('Saída'!$E$3:$G$505,""select E where F = '""&amp;H$29&amp;""' and G = '""&amp;H$30&amp;""'"")),0)-iferror(sum(query('M"&amp;"ovimentação'!$E$3:$I$505,""select E where F = '""&amp;H$29&amp;""' and H = '""&amp;H$30&amp;""'"")),0)+iferror(sum(query('Movimentação'!$E$3:$I$505,""select E where G = '""&amp;H$29&amp;""' and I = '""&amp;H$30&amp;""'"")),0),0))"),2.2737367544323206E-13)</f>
        <v>0</v>
      </c>
      <c r="I32" s="55" t="str">
        <f>IFERROR(__xludf.DUMMYFUNCTION("if(isblank(I$30),"""",iferror(I$31+iferror(sum(query(Entrada!$E$3:$G$505,""select E where F = '""&amp;I$29&amp;""' and G = '""&amp;I$30&amp;""'"")),0)-iferror(sum(query('Saída'!$E$3:$G$505,""select E where F = '""&amp;I$29&amp;""' and G = '""&amp;I$30&amp;""'"")),0)-iferror(sum(query('M"&amp;"ovimentação'!$E$3:$I$505,""select E where F = '""&amp;I$29&amp;""' and H = '""&amp;I$30&amp;""'"")),0)+iferror(sum(query('Movimentação'!$E$3:$I$505,""select E where G = '""&amp;I$29&amp;""' and I = '""&amp;I$30&amp;""'"")),0),0))"),"")</f>
        <v/>
      </c>
      <c r="J32" s="55" t="str">
        <f>IFERROR(__xludf.DUMMYFUNCTION("if(isblank(J$30),"""",iferror(J$31+iferror(sum(query(Entrada!$E$3:$G$505,""select E where F = '""&amp;J$29&amp;""' and G = '""&amp;J$30&amp;""'"")),0)-iferror(sum(query('Saída'!$E$3:$G$505,""select E where F = '""&amp;J$29&amp;""' and G = '""&amp;J$30&amp;""'"")),0)-iferror(sum(query('M"&amp;"ovimentação'!$E$3:$I$505,""select E where F = '""&amp;J$29&amp;""' and H = '""&amp;J$30&amp;""'"")),0)+iferror(sum(query('Movimentação'!$E$3:$I$505,""select E where G = '""&amp;J$29&amp;""' and I = '""&amp;J$30&amp;""'"")),0),0))"),"")</f>
        <v/>
      </c>
      <c r="K32" s="55" t="str">
        <f>IFERROR(__xludf.DUMMYFUNCTION("if(isblank(K$30),"""",iferror(K$31+iferror(sum(query(Entrada!$E$3:$G$505,""select E where F = '""&amp;K$29&amp;""' and G = '""&amp;K$30&amp;""'"")),0)-iferror(sum(query('Saída'!$E$3:$G$505,""select E where F = '""&amp;K$29&amp;""' and G = '""&amp;K$30&amp;""'"")),0)-iferror(sum(query('M"&amp;"ovimentação'!$E$3:$I$505,""select E where F = '""&amp;K$29&amp;""' and H = '""&amp;K$30&amp;""'"")),0)+iferror(sum(query('Movimentação'!$E$3:$I$505,""select E where G = '""&amp;K$29&amp;""' and I = '""&amp;K$30&amp;""'"")),0),0))"),"")</f>
        <v/>
      </c>
      <c r="L32" s="55" t="str">
        <f>IFERROR(__xludf.DUMMYFUNCTION("if(isblank(L$30),"""",iferror(L$31+iferror(sum(query(Entrada!$E$3:$G$505,""select E where F = '""&amp;L$29&amp;""' and G = '""&amp;L$30&amp;""'"")),0)-iferror(sum(query('Saída'!$E$3:$G$505,""select E where F = '""&amp;L$29&amp;""' and G = '""&amp;L$30&amp;""'"")),0)-iferror(sum(query('M"&amp;"ovimentação'!$E$3:$I$505,""select E where F = '""&amp;L$29&amp;""' and H = '""&amp;L$30&amp;""'"")),0)+iferror(sum(query('Movimentação'!$E$3:$I$505,""select E where G = '""&amp;L$29&amp;""' and I = '""&amp;L$30&amp;""'"")),0),0))"),"")</f>
        <v/>
      </c>
      <c r="M32" s="55" t="str">
        <f>IFERROR(__xludf.DUMMYFUNCTION("if(isblank(M$30),"""",iferror(M$31+iferror(sum(query(Entrada!$E$3:$G$505,""select E where F = '""&amp;M$29&amp;""' and G = '""&amp;M$30&amp;""'"")),0)-iferror(sum(query('Saída'!$E$3:$G$505,""select E where F = '""&amp;M$29&amp;""' and G = '""&amp;M$30&amp;""'"")),0)-iferror(sum(query('M"&amp;"ovimentação'!$E$3:$I$505,""select E where F = '""&amp;M$29&amp;""' and H = '""&amp;M$30&amp;""'"")),0)+iferror(sum(query('Movimentação'!$E$3:$I$505,""select E where G = '""&amp;M$29&amp;""' and I = '""&amp;M$30&amp;""'"")),0),0))"),"")</f>
        <v/>
      </c>
      <c r="N32" s="55" t="str">
        <f>IFERROR(__xludf.DUMMYFUNCTION("if(isblank(N$30),"""",iferror(N$31+iferror(sum(query(Entrada!$E$3:$G$505,""select E where F = '""&amp;N$29&amp;""' and G = '""&amp;N$30&amp;""'"")),0)-iferror(sum(query('Saída'!$E$3:$G$505,""select E where F = '""&amp;N$29&amp;""' and G = '""&amp;N$30&amp;""'"")),0)-iferror(sum(query('M"&amp;"ovimentação'!$E$3:$I$505,""select E where F = '""&amp;N$29&amp;""' and H = '""&amp;N$30&amp;""'"")),0)+iferror(sum(query('Movimentação'!$E$3:$I$505,""select E where G = '""&amp;N$29&amp;""' and I = '""&amp;N$30&amp;""'"")),0),0))"),"")</f>
        <v/>
      </c>
      <c r="O32" s="55" t="str">
        <f>IFERROR(__xludf.DUMMYFUNCTION("if(isblank(O$30),"""",iferror(O$31+iferror(sum(query(Entrada!$E$3:$G$505,""select E where F = '""&amp;O$29&amp;""' and G = '""&amp;O$30&amp;""'"")),0)-iferror(sum(query('Saída'!$E$3:$G$505,""select E where F = '""&amp;O$29&amp;""' and G = '""&amp;O$30&amp;""'"")),0)-iferror(sum(query('M"&amp;"ovimentação'!$E$3:$I$505,""select E where F = '""&amp;O$29&amp;""' and H = '""&amp;O$30&amp;""'"")),0)+iferror(sum(query('Movimentação'!$E$3:$I$505,""select E where G = '""&amp;O$29&amp;""' and I = '""&amp;O$30&amp;""'"")),0),0))"),"")</f>
        <v/>
      </c>
      <c r="P32" s="55" t="str">
        <f>IFERROR(__xludf.DUMMYFUNCTION("if(isblank(P$30),"""",iferror(P$31+iferror(sum(query(Entrada!$E$3:$G$505,""select E where F = '""&amp;P$29&amp;""' and G = '""&amp;P$30&amp;""'"")),0)-iferror(sum(query('Saída'!$E$3:$G$505,""select E where F = '""&amp;P$29&amp;""' and G = '""&amp;P$30&amp;""'"")),0)-iferror(sum(query('M"&amp;"ovimentação'!$E$3:$I$505,""select E where F = '""&amp;P$29&amp;""' and H = '""&amp;P$30&amp;""'"")),0)+iferror(sum(query('Movimentação'!$E$3:$I$505,""select E where G = '""&amp;P$29&amp;""' and I = '""&amp;P$30&amp;""'"")),0),0))"),"")</f>
        <v/>
      </c>
      <c r="Q32" s="55" t="str">
        <f>IFERROR(__xludf.DUMMYFUNCTION("if(isblank(Q$30),"""",iferror(Q$31+iferror(sum(query(Entrada!$E$3:$G$505,""select E where F = '""&amp;Q$29&amp;""' and G = '""&amp;Q$30&amp;""'"")),0)-iferror(sum(query('Saída'!$E$3:$G$505,""select E where F = '""&amp;Q$29&amp;""' and G = '""&amp;Q$30&amp;""'"")),0)-iferror(sum(query('M"&amp;"ovimentação'!$E$3:$I$505,""select E where F = '""&amp;Q$29&amp;""' and H = '""&amp;Q$30&amp;""'"")),0)+iferror(sum(query('Movimentação'!$E$3:$I$505,""select E where G = '""&amp;Q$29&amp;""' and I = '""&amp;Q$30&amp;""'"")),0),0))"),"")</f>
        <v/>
      </c>
      <c r="R32" s="55" t="str">
        <f>IFERROR(__xludf.DUMMYFUNCTION("if(isblank(R$30),"""",iferror(R$31+iferror(sum(query(Entrada!$E$3:$G$505,""select E where F = '""&amp;R$29&amp;""' and G = '""&amp;R$30&amp;""'"")),0)-iferror(sum(query('Saída'!$E$3:$G$505,""select E where F = '""&amp;R$29&amp;""' and G = '""&amp;R$30&amp;""'"")),0)-iferror(sum(query('M"&amp;"ovimentação'!$E$3:$I$505,""select E where F = '""&amp;R$29&amp;""' and H = '""&amp;R$30&amp;""'"")),0)+iferror(sum(query('Movimentação'!$E$3:$I$505,""select E where G = '""&amp;R$29&amp;""' and I = '""&amp;R$30&amp;""'"")),0),0))"),"")</f>
        <v/>
      </c>
      <c r="S32" s="55" t="str">
        <f>IFERROR(__xludf.DUMMYFUNCTION("if(isblank(S$30),"""",iferror(S$31+iferror(sum(query(Entrada!$E$3:$G$505,""select E where F = '""&amp;S$29&amp;""' and G = '""&amp;S$30&amp;""'"")),0)-iferror(sum(query('Saída'!$E$3:$G$505,""select E where F = '""&amp;S$29&amp;""' and G = '""&amp;S$30&amp;""'"")),0)-iferror(sum(query('M"&amp;"ovimentação'!$E$3:$I$505,""select E where F = '""&amp;S$29&amp;""' and H = '""&amp;S$30&amp;""'"")),0)+iferror(sum(query('Movimentação'!$E$3:$I$505,""select E where G = '""&amp;S$29&amp;""' and I = '""&amp;S$30&amp;""'"")),0),0))"),"")</f>
        <v/>
      </c>
      <c r="T32" s="55" t="str">
        <f>IFERROR(__xludf.DUMMYFUNCTION("if(isblank(T$30),"""",iferror(T$31+iferror(sum(query(Entrada!$E$3:$G$505,""select E where F = '""&amp;T$29&amp;""' and G = '""&amp;T$30&amp;""'"")),0)-iferror(sum(query('Saída'!$E$3:$G$505,""select E where F = '""&amp;T$29&amp;""' and G = '""&amp;T$30&amp;""'"")),0)-iferror(sum(query('M"&amp;"ovimentação'!$E$3:$I$505,""select E where F = '""&amp;T$29&amp;""' and H = '""&amp;T$30&amp;""'"")),0)+iferror(sum(query('Movimentação'!$E$3:$I$505,""select E where G = '""&amp;T$29&amp;""' and I = '""&amp;T$30&amp;""'"")),0),0))"),"")</f>
        <v/>
      </c>
      <c r="U32" s="56" t="str">
        <f>IFERROR(__xludf.DUMMYFUNCTION("if(isblank(U$30),"""",iferror(U$31+iferror(sum(query(Entrada!$E$3:$G$505,""select E where F = '""&amp;U$29&amp;""' and G = '""&amp;U$30&amp;""'"")),0)-iferror(sum(query('Saída'!$E$3:$G$505,""select E where F = '""&amp;U$29&amp;""' and G = '""&amp;U$30&amp;""'"")),0)-iferror(sum(query('M"&amp;"ovimentação'!$E$3:$I$505,""select E where F = '""&amp;U$29&amp;""' and H = '""&amp;U$30&amp;""'"")),0)+iferror(sum(query('Movimentação'!$E$3:$I$505,""select E where G = '""&amp;U$29&amp;""' and I = '""&amp;U$30&amp;""'"")),0),0))"),"")</f>
        <v/>
      </c>
      <c r="V32" s="3"/>
      <c r="W32" s="3"/>
      <c r="X32" s="3"/>
      <c r="Y32" s="3"/>
      <c r="Z32" s="3"/>
    </row>
    <row r="33">
      <c r="A33" s="39" t="s">
        <v>51</v>
      </c>
      <c r="V33" s="3"/>
      <c r="W33" s="3"/>
      <c r="X33" s="3"/>
      <c r="Y33" s="3"/>
      <c r="Z33" s="3"/>
    </row>
    <row r="34">
      <c r="V34" s="3"/>
      <c r="W34" s="3"/>
      <c r="X34" s="3"/>
      <c r="Y34" s="3"/>
      <c r="Z34" s="3"/>
    </row>
    <row r="35">
      <c r="A35" s="57"/>
      <c r="B35" s="58" t="str">
        <f>IFERROR(__xludf.DUMMYFUNCTION("transpose(unique(query($G$6:$I$25,""select G"",0)))"),"Nubank")</f>
        <v>Nubank</v>
      </c>
      <c r="C35" s="42" t="str">
        <f>IFERROR(__xludf.DUMMYFUNCTION("""COMPUTED_VALUE"""),"Carrefour")</f>
        <v>Carrefour</v>
      </c>
      <c r="D35" s="42" t="str">
        <f>IFERROR(__xludf.DUMMYFUNCTION("""COMPUTED_VALUE"""),"Credicard")</f>
        <v>Credicard</v>
      </c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3"/>
      <c r="W35" s="3"/>
      <c r="X35" s="3"/>
      <c r="Y35" s="3"/>
      <c r="Z35" s="3"/>
    </row>
    <row r="36">
      <c r="A36" s="46" t="s">
        <v>11</v>
      </c>
      <c r="B36" s="59" t="s">
        <v>17</v>
      </c>
      <c r="C36" s="60" t="s">
        <v>21</v>
      </c>
      <c r="D36" s="60" t="s">
        <v>28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1"/>
      <c r="V36" s="3"/>
      <c r="W36" s="3"/>
      <c r="X36" s="3"/>
      <c r="Y36" s="3"/>
      <c r="Z36" s="3"/>
    </row>
    <row r="37">
      <c r="A37" s="46" t="s">
        <v>49</v>
      </c>
      <c r="B37" s="62" t="s">
        <v>52</v>
      </c>
      <c r="C37" s="63">
        <v>0.0</v>
      </c>
      <c r="D37" s="63">
        <v>0.0</v>
      </c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5"/>
      <c r="V37" s="3"/>
      <c r="W37" s="3"/>
      <c r="X37" s="3"/>
      <c r="Y37" s="3"/>
      <c r="Z37" s="3"/>
    </row>
    <row r="38">
      <c r="A38" s="46" t="s">
        <v>50</v>
      </c>
      <c r="B38" s="66">
        <f>IFERROR(__xludf.DUMMYFUNCTION("if(isblank(B$35),"""",-query('Cartões'!$B$4:$C$24,""select B where C = '""&amp;B$35&amp;""'"",0)+sum(query('Cartões'!$B$180:$O$200,""select B where C = '""&amp;B$36&amp;""'"")))"),-513.7000000000007)</f>
        <v>-513.7</v>
      </c>
      <c r="C38" s="67">
        <f>IFERROR(__xludf.DUMMYFUNCTION("if(isblank(C$35),"""",-query('Cartões'!$B$4:$C$24,""select B where C = '""&amp;C$35&amp;""'"",0)+sum(query('Cartões'!$B$180:$O$200,""select B where C = '""&amp;C$36&amp;""'"")))"),-5438.619999999998)</f>
        <v>-5438.62</v>
      </c>
      <c r="D38" s="67">
        <f>IFERROR(__xludf.DUMMYFUNCTION("if(isblank(D$35),"""",-query('Cartões'!$B$4:$C$24,""select B where C = '""&amp;D$35&amp;""'"",0)+sum(query('Cartões'!$B$180:$O$200,""select B where C = '""&amp;D$36&amp;""'"")))"),-1708.32)</f>
        <v>-1708.32</v>
      </c>
      <c r="E38" s="67" t="str">
        <f>IFERROR(__xludf.DUMMYFUNCTION("if(isblank(E$35),"""",-query('Cartões'!$B$4:$C$24,""select B where C = '""&amp;E$35&amp;""'"",0)+sum(query('Cartões'!$B$180:$O$200,""select B where C = '""&amp;E$36&amp;""'"")))"),"  ")</f>
        <v/>
      </c>
      <c r="F38" s="67" t="str">
        <f>IFERROR(__xludf.DUMMYFUNCTION("if(isblank(F$35),"""",-query('Cartões'!$B$4:$C$24,""select B where C = '""&amp;F$35&amp;""'"",0)+sum(query('Cartões'!$B$180:$O$200,""select B where C = '""&amp;F$36&amp;""'"")))"),"  ")</f>
        <v/>
      </c>
      <c r="G38" s="67" t="str">
        <f>IFERROR(__xludf.DUMMYFUNCTION("if(isblank(G$35),"""",-query('Cartões'!$B$4:$C$24,""select B where C = '""&amp;G$35&amp;""'"",0)+sum(query('Cartões'!$B$180:$O$200,""select B where C = '""&amp;G$36&amp;""'"")))"),"  ")</f>
        <v/>
      </c>
      <c r="H38" s="67" t="str">
        <f>IFERROR(__xludf.DUMMYFUNCTION("if(isblank(H$35),"""",-query('Cartões'!$B$4:$C$24,""select B where C = '""&amp;H$35&amp;""'"",0)+sum(query('Cartões'!$B$180:$O$200,""select B where C = '""&amp;H$36&amp;""'"")))"),"  ")</f>
        <v/>
      </c>
      <c r="I38" s="67" t="str">
        <f>IFERROR(__xludf.DUMMYFUNCTION("if(isblank(I$35),"""",-query('Cartões'!$B$4:$C$24,""select B where C = '""&amp;I$35&amp;""'"",0)+sum(query('Cartões'!$B$180:$O$200,""select B where C = '""&amp;I$36&amp;""'"")))"),"  ")</f>
        <v/>
      </c>
      <c r="J38" s="67" t="str">
        <f>IFERROR(__xludf.DUMMYFUNCTION("if(isblank(J$35),"""",-query('Cartões'!$B$4:$C$24,""select B where C = '""&amp;J$35&amp;""'"",0)+sum(query('Cartões'!$B$180:$O$200,""select B where C = '""&amp;J$36&amp;""'"")))"),"  ")</f>
        <v/>
      </c>
      <c r="K38" s="67" t="str">
        <f>IFERROR(__xludf.DUMMYFUNCTION("if(isblank(K$35),"""",-query('Cartões'!$B$4:$C$24,""select A where B = '""&amp;K$35&amp;""'"",0)+K$37+sum(query('Saída'!$B$3:$G$505,""select E where F = '""&amp;K$29&amp;""' and B = 'Fatura'"")))"),"  ")</f>
        <v/>
      </c>
      <c r="L38" s="67" t="str">
        <f>IFERROR(__xludf.DUMMYFUNCTION("if(isblank(L$35),"""",-query('Cartões'!$B$4:$C$24,""select A where B = '""&amp;L$35&amp;""'"",0)+L$37+sum(query('Saída'!$B$3:$G$505,""select E where F = '""&amp;L$29&amp;""' and B = 'Fatura'"")))"),"  ")</f>
        <v/>
      </c>
      <c r="M38" s="67" t="str">
        <f>IFERROR(__xludf.DUMMYFUNCTION("if(isblank(M$35),"""",-query('Cartões'!$B$4:$C$24,""select A where B = '""&amp;M$35&amp;""'"",0)+M$37+sum(query('Saída'!$B$3:$G$505,""select E where F = '""&amp;M$29&amp;""' and B = 'Fatura'"")))"),"  ")</f>
        <v/>
      </c>
      <c r="N38" s="67" t="str">
        <f>IFERROR(__xludf.DUMMYFUNCTION("if(isblank(N$35),"""",-query('Cartões'!$B$4:$C$24,""select A where B = '""&amp;N$35&amp;""'"",0)+N$37+sum(query('Saída'!$B$3:$G$505,""select E where F = '""&amp;N$29&amp;""' and B = 'Fatura'"")))"),"  ")</f>
        <v/>
      </c>
      <c r="O38" s="67" t="str">
        <f>IFERROR(__xludf.DUMMYFUNCTION("if(isblank(O$35),"""",-query('Cartões'!$B$4:$C$24,""select A where B = '""&amp;O$35&amp;""'"",0)+O$37+sum(query('Saída'!$B$3:$G$505,""select E where F = '""&amp;O$29&amp;""' and B = 'Fatura'"")))"),"  ")</f>
        <v/>
      </c>
      <c r="P38" s="67" t="str">
        <f>IFERROR(__xludf.DUMMYFUNCTION("if(isblank(P$35),"""",-query('Cartões'!$B$4:$C$24,""select A where B = '""&amp;P$35&amp;""'"",0)+P$37+sum(query('Saída'!$B$3:$G$505,""select E where F = '""&amp;P$29&amp;""' and B = 'Fatura'"")))"),"  ")</f>
        <v/>
      </c>
      <c r="Q38" s="67" t="str">
        <f>IFERROR(__xludf.DUMMYFUNCTION("if(isblank(Q$35),"""",-query('Cartões'!$B$4:$C$24,""select A where B = '""&amp;Q$35&amp;""'"",0)+Q$37+sum(query('Saída'!$B$3:$G$505,""select E where F = '""&amp;Q$29&amp;""' and B = 'Fatura'"")))"),"  ")</f>
        <v/>
      </c>
      <c r="R38" s="67" t="str">
        <f>IFERROR(__xludf.DUMMYFUNCTION("if(isblank(R$35),"""",-query('Cartões'!$B$4:$C$24,""select A where B = '""&amp;R$35&amp;""'"",0)+R$37+sum(query('Saída'!$B$3:$G$505,""select E where F = '""&amp;R$29&amp;""' and B = 'Fatura'"")))"),"  ")</f>
        <v/>
      </c>
      <c r="S38" s="67" t="str">
        <f>IFERROR(__xludf.DUMMYFUNCTION("if(isblank(S$35),"""",-query('Cartões'!$B$4:$C$24,""select A where B = '""&amp;S$35&amp;""'"",0)+S$37+sum(query('Saída'!$B$3:$G$505,""select E where F = '""&amp;S$29&amp;""' and B = 'Fatura'"")))"),"  ")</f>
        <v/>
      </c>
      <c r="T38" s="67" t="str">
        <f>IFERROR(__xludf.DUMMYFUNCTION("if(isblank(T$35),"""",-query('Cartões'!$B$4:$C$24,""select A where B = '""&amp;T$35&amp;""'"",0)+T$37+sum(query('Saída'!$B$3:$G$505,""select E where F = '""&amp;T$29&amp;""' and B = 'Fatura'"")))"),"  ")</f>
        <v/>
      </c>
      <c r="U38" s="68" t="str">
        <f>IFERROR(__xludf.DUMMYFUNCTION("if(isblank(U$35),"""",-query('Cartões'!$B$4:$C$24,""select A where B = '""&amp;U$35&amp;""'"",0)+U$37+sum(query('Saída'!$B$3:$G$505,""select E where F = '""&amp;U$29&amp;""' and B = 'Fatura'"")))"),"  ")</f>
        <v/>
      </c>
      <c r="V38" s="3"/>
      <c r="W38" s="3"/>
      <c r="X38" s="3"/>
      <c r="Y38" s="3"/>
      <c r="Z38" s="3"/>
    </row>
    <row r="39">
      <c r="A39" s="46" t="s">
        <v>53</v>
      </c>
      <c r="B39" s="69">
        <v>3600.0</v>
      </c>
      <c r="C39" s="70">
        <v>9000.0</v>
      </c>
      <c r="D39" s="70">
        <v>3000.0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8"/>
      <c r="V39" s="3"/>
      <c r="W39" s="3"/>
      <c r="X39" s="3"/>
      <c r="Y39" s="3"/>
      <c r="Z39" s="3"/>
    </row>
    <row r="40">
      <c r="A40" s="46" t="s">
        <v>54</v>
      </c>
      <c r="B40" s="71">
        <f t="shared" ref="B40:U40" si="1">iferror(B$38/B$39,"")</f>
        <v>-0.1426944444</v>
      </c>
      <c r="C40" s="72">
        <f t="shared" si="1"/>
        <v>-0.6042911111</v>
      </c>
      <c r="D40" s="72">
        <f t="shared" si="1"/>
        <v>-0.56944</v>
      </c>
      <c r="E40" s="72" t="str">
        <f t="shared" si="1"/>
        <v/>
      </c>
      <c r="F40" s="72" t="str">
        <f t="shared" si="1"/>
        <v/>
      </c>
      <c r="G40" s="72" t="str">
        <f t="shared" si="1"/>
        <v/>
      </c>
      <c r="H40" s="72" t="str">
        <f t="shared" si="1"/>
        <v/>
      </c>
      <c r="I40" s="72" t="str">
        <f t="shared" si="1"/>
        <v/>
      </c>
      <c r="J40" s="72" t="str">
        <f t="shared" si="1"/>
        <v/>
      </c>
      <c r="K40" s="72" t="str">
        <f t="shared" si="1"/>
        <v/>
      </c>
      <c r="L40" s="72" t="str">
        <f t="shared" si="1"/>
        <v/>
      </c>
      <c r="M40" s="72" t="str">
        <f t="shared" si="1"/>
        <v/>
      </c>
      <c r="N40" s="72" t="str">
        <f t="shared" si="1"/>
        <v/>
      </c>
      <c r="O40" s="72" t="str">
        <f t="shared" si="1"/>
        <v/>
      </c>
      <c r="P40" s="72" t="str">
        <f t="shared" si="1"/>
        <v/>
      </c>
      <c r="Q40" s="72" t="str">
        <f t="shared" si="1"/>
        <v/>
      </c>
      <c r="R40" s="72" t="str">
        <f t="shared" si="1"/>
        <v/>
      </c>
      <c r="S40" s="72" t="str">
        <f t="shared" si="1"/>
        <v/>
      </c>
      <c r="T40" s="72" t="str">
        <f t="shared" si="1"/>
        <v/>
      </c>
      <c r="U40" s="73" t="str">
        <f t="shared" si="1"/>
        <v/>
      </c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4"/>
      <c r="C44" s="7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</sheetData>
  <mergeCells count="6">
    <mergeCell ref="B1:G1"/>
    <mergeCell ref="A4:D4"/>
    <mergeCell ref="F4:H4"/>
    <mergeCell ref="A26:U27"/>
    <mergeCell ref="B28:U28"/>
    <mergeCell ref="A33:U34"/>
  </mergeCells>
  <dataValidations>
    <dataValidation type="list" allowBlank="1" sqref="C6:C25">
      <formula1>Tabelas!$K$13:$K$24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5" t="s">
        <v>55</v>
      </c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6" t="s">
        <v>56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0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>
      <c r="A3" s="78"/>
      <c r="B3" s="79" t="s">
        <v>57</v>
      </c>
      <c r="C3" s="79" t="s">
        <v>58</v>
      </c>
      <c r="D3" s="79" t="s">
        <v>59</v>
      </c>
      <c r="E3" s="79" t="s">
        <v>60</v>
      </c>
      <c r="F3" s="79" t="s">
        <v>61</v>
      </c>
      <c r="G3" s="79" t="s">
        <v>62</v>
      </c>
      <c r="H3" s="79" t="s">
        <v>63</v>
      </c>
      <c r="I3" s="79" t="s">
        <v>64</v>
      </c>
      <c r="J3" s="79" t="s">
        <v>65</v>
      </c>
      <c r="K3" s="79" t="s">
        <v>66</v>
      </c>
      <c r="L3" s="79" t="s">
        <v>67</v>
      </c>
      <c r="M3" s="79" t="s">
        <v>68</v>
      </c>
      <c r="N3" s="80" t="s">
        <v>69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</row>
    <row r="4">
      <c r="A4" s="82" t="str">
        <f>IFERROR(__xludf.DUMMYFUNCTION("unique(QUERY(Tabelas!E13:E52,""select E where E is not null""))"),"Mesada")</f>
        <v>Mesada</v>
      </c>
      <c r="B4" s="83">
        <f>IFERROR(__xludf.DUMMYFUNCTION("if(isblank($A4),"""",iferror(sum(query(Entrada!$A$3:$G$505,""select E where B = '""&amp;$A4&amp;""' and A = '""&amp;B$3&amp;""'"")),0))"),480.0)</f>
        <v>480</v>
      </c>
      <c r="C4" s="83">
        <f>IFERROR(__xludf.DUMMYFUNCTION("if(isblank($A4),"""",iferror(sum(query(Entrada!$A$3:$G$505,""select E where B = '""&amp;$A4&amp;""' and A = '""&amp;C$3&amp;""'"")),0))"),480.0)</f>
        <v>480</v>
      </c>
      <c r="D4" s="83">
        <f>IFERROR(__xludf.DUMMYFUNCTION("if(isblank($A4),"""",iferror(sum(query(Entrada!$A$3:$G$505,""select E where B = '""&amp;$A4&amp;""' and A = '""&amp;D$3&amp;""'"")),0))"),480.0)</f>
        <v>480</v>
      </c>
      <c r="E4" s="83">
        <f>IFERROR(__xludf.DUMMYFUNCTION("if(isblank($A4),"""",iferror(sum(query(Entrada!$A$3:$G$505,""select E where B = '""&amp;$A4&amp;""' and A = '""&amp;E$3&amp;""'"")),0))"),640.0)</f>
        <v>640</v>
      </c>
      <c r="F4" s="83">
        <f>IFERROR(__xludf.DUMMYFUNCTION("if(isblank($A4),"""",iferror(sum(query(Entrada!$A$3:$G$505,""select E where B = '""&amp;$A4&amp;""' and A = '""&amp;F$3&amp;""'"")),0))"),400.0)</f>
        <v>400</v>
      </c>
      <c r="G4" s="83">
        <f>IFERROR(__xludf.DUMMYFUNCTION("if(isblank($A4),"""",iferror(sum(query(Entrada!$A$3:$G$505,""select E where B = '""&amp;$A4&amp;""' and A = '""&amp;G$3&amp;""'"")),0))"),403.0)</f>
        <v>403</v>
      </c>
      <c r="H4" s="83">
        <f>IFERROR(__xludf.DUMMYFUNCTION("if(isblank($A4),"""",iferror(sum(query(Entrada!$A$3:$G$505,""select E where B = '""&amp;$A4&amp;""' and A = '""&amp;H$3&amp;""'"")),0))"),534.1)</f>
        <v>534.1</v>
      </c>
      <c r="I4" s="83">
        <f>IFERROR(__xludf.DUMMYFUNCTION("if(isblank($A4),"""",iferror(sum(query(Entrada!$A$3:$G$505,""select E where B = '""&amp;$A4&amp;""' and A = '""&amp;I$3&amp;""'"")),0))"),390.0)</f>
        <v>390</v>
      </c>
      <c r="J4" s="83">
        <f>IFERROR(__xludf.DUMMYFUNCTION("if(isblank($A4),"""",iferror(sum(query(Entrada!$A$3:$G$505,""select E where B = '""&amp;$A4&amp;""' and A = '""&amp;J$3&amp;""'"")),0))"),400.0)</f>
        <v>400</v>
      </c>
      <c r="K4" s="83">
        <f>IFERROR(__xludf.DUMMYFUNCTION("if(isblank($A4),"""",iferror(sum(query(Entrada!$A$3:$G$505,""select E where B = '""&amp;$A4&amp;""' and A = '""&amp;K$3&amp;""'"")),0))"),534.94)</f>
        <v>534.94</v>
      </c>
      <c r="L4" s="83">
        <f>IFERROR(__xludf.DUMMYFUNCTION("if(isblank($A4),"""",iferror(sum(query(Entrada!$A$3:$G$505,""select E where B = '""&amp;$A4&amp;""' and A = '""&amp;L$3&amp;""'"")),0))"),400.0)</f>
        <v>400</v>
      </c>
      <c r="M4" s="83">
        <f>IFERROR(__xludf.DUMMYFUNCTION("if(isblank($A4),"""",iferror(sum(query(Entrada!$A$3:$G$505,""select E where B = '""&amp;$A4&amp;""' and A = '""&amp;M$3&amp;""'"")),0))"),520.0)</f>
        <v>520</v>
      </c>
      <c r="N4" s="84">
        <f t="shared" ref="N4:N20" si="1">if(isblank($A4),"",sum(B4:M4))</f>
        <v>5662.04</v>
      </c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</row>
    <row r="5">
      <c r="A5" s="82" t="str">
        <f>IFERROR(__xludf.DUMMYFUNCTION("""COMPUTED_VALUE"""),"Salário")</f>
        <v>Salário</v>
      </c>
      <c r="B5" s="83">
        <f>IFERROR(__xludf.DUMMYFUNCTION("if(isblank($A5),"""",iferror(sum(query(Entrada!$A$3:$G$505,""select E where B = '""&amp;$A5&amp;""' and A = '""&amp;B$3&amp;""'"")),0))"),0.0)</f>
        <v>0</v>
      </c>
      <c r="C5" s="83">
        <f>IFERROR(__xludf.DUMMYFUNCTION("if(isblank($A5),"""",iferror(sum(query(Entrada!$A$3:$G$505,""select E where B = '""&amp;$A5&amp;""' and A = '""&amp;C$3&amp;""'"")),0))"),400.0)</f>
        <v>400</v>
      </c>
      <c r="D5" s="83">
        <f>IFERROR(__xludf.DUMMYFUNCTION("if(isblank($A5),"""",iferror(sum(query(Entrada!$A$3:$G$505,""select E where B = '""&amp;$A5&amp;""' and A = '""&amp;D$3&amp;""'"")),0))"),400.0)</f>
        <v>400</v>
      </c>
      <c r="E5" s="83">
        <f>IFERROR(__xludf.DUMMYFUNCTION("if(isblank($A5),"""",iferror(sum(query(Entrada!$A$3:$G$505,""select E where B = '""&amp;$A5&amp;""' and A = '""&amp;E$3&amp;""'"")),0))"),400.0)</f>
        <v>400</v>
      </c>
      <c r="F5" s="83">
        <f>IFERROR(__xludf.DUMMYFUNCTION("if(isblank($A5),"""",iferror(sum(query(Entrada!$A$3:$G$505,""select E where B = '""&amp;$A5&amp;""' and A = '""&amp;F$3&amp;""'"")),0))"),400.0)</f>
        <v>400</v>
      </c>
      <c r="G5" s="83">
        <f>IFERROR(__xludf.DUMMYFUNCTION("if(isblank($A5),"""",iferror(sum(query(Entrada!$A$3:$G$505,""select E where B = '""&amp;$A5&amp;""' and A = '""&amp;G$3&amp;""'"")),0))"),400.0)</f>
        <v>400</v>
      </c>
      <c r="H5" s="83">
        <f>IFERROR(__xludf.DUMMYFUNCTION("if(isblank($A5),"""",iferror(sum(query(Entrada!$A$3:$G$505,""select E where B = '""&amp;$A5&amp;""' and A = '""&amp;H$3&amp;""'"")),0))"),0.0)</f>
        <v>0</v>
      </c>
      <c r="I5" s="83">
        <f>IFERROR(__xludf.DUMMYFUNCTION("if(isblank($A5),"""",iferror(sum(query(Entrada!$A$3:$G$505,""select E where B = '""&amp;$A5&amp;""' and A = '""&amp;I$3&amp;""'"")),0))"),0.0)</f>
        <v>0</v>
      </c>
      <c r="J5" s="83">
        <f>IFERROR(__xludf.DUMMYFUNCTION("if(isblank($A5),"""",iferror(sum(query(Entrada!$A$3:$G$505,""select E where B = '""&amp;$A5&amp;""' and A = '""&amp;J$3&amp;""'"")),0))"),0.0)</f>
        <v>0</v>
      </c>
      <c r="K5" s="83">
        <f>IFERROR(__xludf.DUMMYFUNCTION("if(isblank($A5),"""",iferror(sum(query(Entrada!$A$3:$G$505,""select E where B = '""&amp;$A5&amp;""' and A = '""&amp;K$3&amp;""'"")),0))"),0.0)</f>
        <v>0</v>
      </c>
      <c r="L5" s="83">
        <f>IFERROR(__xludf.DUMMYFUNCTION("if(isblank($A5),"""",iferror(sum(query(Entrada!$A$3:$G$505,""select E where B = '""&amp;$A5&amp;""' and A = '""&amp;L$3&amp;""'"")),0))"),0.0)</f>
        <v>0</v>
      </c>
      <c r="M5" s="83">
        <f>IFERROR(__xludf.DUMMYFUNCTION("if(isblank($A5),"""",iferror(sum(query(Entrada!$A$3:$G$505,""select E where B = '""&amp;$A5&amp;""' and A = '""&amp;M$3&amp;""'"")),0))"),4000.0)</f>
        <v>4000</v>
      </c>
      <c r="N5" s="84">
        <f t="shared" si="1"/>
        <v>6000</v>
      </c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</row>
    <row r="6">
      <c r="A6" s="82" t="str">
        <f>IFERROR(__xludf.DUMMYFUNCTION("""COMPUTED_VALUE"""),"Rend. Extra")</f>
        <v>Rend. Extra</v>
      </c>
      <c r="B6" s="83">
        <f>IFERROR(__xludf.DUMMYFUNCTION("if(isblank($A6),"""",iferror(sum(query(Entrada!$A$3:$G$505,""select E where B = '""&amp;$A6&amp;""' and A = '""&amp;B$3&amp;""'"")),0))"),180.0)</f>
        <v>180</v>
      </c>
      <c r="C6" s="83">
        <f>IFERROR(__xludf.DUMMYFUNCTION("if(isblank($A6),"""",iferror(sum(query(Entrada!$A$3:$G$505,""select E where B = '""&amp;$A6&amp;""' and A = '""&amp;C$3&amp;""'"")),0))"),40.0)</f>
        <v>40</v>
      </c>
      <c r="D6" s="83">
        <f>IFERROR(__xludf.DUMMYFUNCTION("if(isblank($A6),"""",iferror(sum(query(Entrada!$A$3:$G$505,""select E where B = '""&amp;$A6&amp;""' and A = '""&amp;D$3&amp;""'"")),0))"),60.0)</f>
        <v>60</v>
      </c>
      <c r="E6" s="83">
        <f>IFERROR(__xludf.DUMMYFUNCTION("if(isblank($A6),"""",iferror(sum(query(Entrada!$A$3:$G$505,""select E where B = '""&amp;$A6&amp;""' and A = '""&amp;E$3&amp;""'"")),0))"),76.0)</f>
        <v>76</v>
      </c>
      <c r="F6" s="83">
        <f>IFERROR(__xludf.DUMMYFUNCTION("if(isblank($A6),"""",iferror(sum(query(Entrada!$A$3:$G$505,""select E where B = '""&amp;$A6&amp;""' and A = '""&amp;F$3&amp;""'"")),0))"),220.0)</f>
        <v>220</v>
      </c>
      <c r="G6" s="83">
        <f>IFERROR(__xludf.DUMMYFUNCTION("if(isblank($A6),"""",iferror(sum(query(Entrada!$A$3:$G$505,""select E where B = '""&amp;$A6&amp;""' and A = '""&amp;G$3&amp;""'"")),0))"),150.0)</f>
        <v>150</v>
      </c>
      <c r="H6" s="83">
        <f>IFERROR(__xludf.DUMMYFUNCTION("if(isblank($A6),"""",iferror(sum(query(Entrada!$A$3:$G$505,""select E where B = '""&amp;$A6&amp;""' and A = '""&amp;H$3&amp;""'"")),0))"),360.0)</f>
        <v>360</v>
      </c>
      <c r="I6" s="83">
        <f>IFERROR(__xludf.DUMMYFUNCTION("if(isblank($A6),"""",iferror(sum(query(Entrada!$A$3:$G$505,""select E where B = '""&amp;$A6&amp;""' and A = '""&amp;I$3&amp;""'"")),0))"),80.79)</f>
        <v>80.79</v>
      </c>
      <c r="J6" s="83">
        <f>IFERROR(__xludf.DUMMYFUNCTION("if(isblank($A6),"""",iferror(sum(query(Entrada!$A$3:$G$505,""select E where B = '""&amp;$A6&amp;""' and A = '""&amp;J$3&amp;""'"")),0))"),150.0)</f>
        <v>150</v>
      </c>
      <c r="K6" s="83">
        <f>IFERROR(__xludf.DUMMYFUNCTION("if(isblank($A6),"""",iferror(sum(query(Entrada!$A$3:$G$505,""select E where B = '""&amp;$A6&amp;""' and A = '""&amp;K$3&amp;""'"")),0))"),0.0)</f>
        <v>0</v>
      </c>
      <c r="L6" s="83">
        <f>IFERROR(__xludf.DUMMYFUNCTION("if(isblank($A6),"""",iferror(sum(query(Entrada!$A$3:$G$505,""select E where B = '""&amp;$A6&amp;""' and A = '""&amp;L$3&amp;""'"")),0))"),290.0)</f>
        <v>290</v>
      </c>
      <c r="M6" s="83">
        <f>IFERROR(__xludf.DUMMYFUNCTION("if(isblank($A6),"""",iferror(sum(query(Entrada!$A$3:$G$505,""select E where B = '""&amp;$A6&amp;""' and A = '""&amp;M$3&amp;""'"")),0))"),80.0)</f>
        <v>80</v>
      </c>
      <c r="N6" s="84">
        <f t="shared" si="1"/>
        <v>1686.79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</row>
    <row r="7">
      <c r="A7" s="82" t="str">
        <f>IFERROR(__xludf.DUMMYFUNCTION("""COMPUTED_VALUE"""),"Temporário")</f>
        <v>Temporário</v>
      </c>
      <c r="B7" s="83">
        <f>IFERROR(__xludf.DUMMYFUNCTION("if(isblank($A7),"""",iferror(sum(query(Entrada!$A$3:$G$505,""select E where B = '""&amp;$A7&amp;""' and A = '""&amp;B$3&amp;""'"")),0))"),2005.45)</f>
        <v>2005.45</v>
      </c>
      <c r="C7" s="83">
        <f>IFERROR(__xludf.DUMMYFUNCTION("if(isblank($A7),"""",iferror(sum(query(Entrada!$A$3:$G$505,""select E where B = '""&amp;$A7&amp;""' and A = '""&amp;C$3&amp;""'"")),0))"),414.0)</f>
        <v>414</v>
      </c>
      <c r="D7" s="83">
        <f>IFERROR(__xludf.DUMMYFUNCTION("if(isblank($A7),"""",iferror(sum(query(Entrada!$A$3:$G$505,""select E where B = '""&amp;$A7&amp;""' and A = '""&amp;D$3&amp;""'"")),0))"),1464.0)</f>
        <v>1464</v>
      </c>
      <c r="E7" s="83">
        <f>IFERROR(__xludf.DUMMYFUNCTION("if(isblank($A7),"""",iferror(sum(query(Entrada!$A$3:$G$505,""select E where B = '""&amp;$A7&amp;""' and A = '""&amp;E$3&amp;""'"")),0))"),672.15)</f>
        <v>672.15</v>
      </c>
      <c r="F7" s="83">
        <f>IFERROR(__xludf.DUMMYFUNCTION("if(isblank($A7),"""",iferror(sum(query(Entrada!$A$3:$G$505,""select E where B = '""&amp;$A7&amp;""' and A = '""&amp;F$3&amp;""'"")),0))"),1110.0)</f>
        <v>1110</v>
      </c>
      <c r="G7" s="83">
        <f>IFERROR(__xludf.DUMMYFUNCTION("if(isblank($A7),"""",iferror(sum(query(Entrada!$A$3:$G$505,""select E where B = '""&amp;$A7&amp;""' and A = '""&amp;G$3&amp;""'"")),0))"),1125.0)</f>
        <v>1125</v>
      </c>
      <c r="H7" s="83">
        <f>IFERROR(__xludf.DUMMYFUNCTION("if(isblank($A7),"""",iferror(sum(query(Entrada!$A$3:$G$505,""select E where B = '""&amp;$A7&amp;""' and A = '""&amp;H$3&amp;""'"")),0))"),1126.8)</f>
        <v>1126.8</v>
      </c>
      <c r="I7" s="83">
        <f>IFERROR(__xludf.DUMMYFUNCTION("if(isblank($A7),"""",iferror(sum(query(Entrada!$A$3:$G$505,""select E where B = '""&amp;$A7&amp;""' and A = '""&amp;I$3&amp;""'"")),0))"),1170.0)</f>
        <v>1170</v>
      </c>
      <c r="J7" s="83">
        <f>IFERROR(__xludf.DUMMYFUNCTION("if(isblank($A7),"""",iferror(sum(query(Entrada!$A$3:$G$505,""select E where B = '""&amp;$A7&amp;""' and A = '""&amp;J$3&amp;""'"")),0))"),855.0)</f>
        <v>855</v>
      </c>
      <c r="K7" s="83">
        <f>IFERROR(__xludf.DUMMYFUNCTION("if(isblank($A7),"""",iferror(sum(query(Entrada!$A$3:$G$505,""select E where B = '""&amp;$A7&amp;""' and A = '""&amp;K$3&amp;""'"")),0))"),1047.56)</f>
        <v>1047.56</v>
      </c>
      <c r="L7" s="83">
        <f>IFERROR(__xludf.DUMMYFUNCTION("if(isblank($A7),"""",iferror(sum(query(Entrada!$A$3:$G$505,""select E where B = '""&amp;$A7&amp;""' and A = '""&amp;L$3&amp;""'"")),0))"),309.5)</f>
        <v>309.5</v>
      </c>
      <c r="M7" s="83">
        <f>IFERROR(__xludf.DUMMYFUNCTION("if(isblank($A7),"""",iferror(sum(query(Entrada!$A$3:$G$505,""select E where B = '""&amp;$A7&amp;""' and A = '""&amp;M$3&amp;""'"")),0))"),787.0)</f>
        <v>787</v>
      </c>
      <c r="N7" s="84">
        <f t="shared" si="1"/>
        <v>12086.46</v>
      </c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>
      <c r="A8" s="82" t="str">
        <f>IFERROR(__xludf.DUMMYFUNCTION("""COMPUTED_VALUE"""),"Rendimentos")</f>
        <v>Rendimentos</v>
      </c>
      <c r="B8" s="83">
        <f>IFERROR(__xludf.DUMMYFUNCTION("if(isblank($A8),"""",iferror(sum(query(Entrada!$A$3:$G$505,""select E where B = '""&amp;$A8&amp;""' and A = '""&amp;B$3&amp;""'"")),0))"),0.86)</f>
        <v>0.86</v>
      </c>
      <c r="C8" s="83">
        <f>IFERROR(__xludf.DUMMYFUNCTION("if(isblank($A8),"""",iferror(sum(query(Entrada!$A$3:$G$505,""select E where B = '""&amp;$A8&amp;""' and A = '""&amp;C$3&amp;""'"")),0))"),1.04)</f>
        <v>1.04</v>
      </c>
      <c r="D8" s="83">
        <f>IFERROR(__xludf.DUMMYFUNCTION("if(isblank($A8),"""",iferror(sum(query(Entrada!$A$3:$G$505,""select E where B = '""&amp;$A8&amp;""' and A = '""&amp;D$3&amp;""'"")),0))"),1.11)</f>
        <v>1.11</v>
      </c>
      <c r="E8" s="83">
        <f>IFERROR(__xludf.DUMMYFUNCTION("if(isblank($A8),"""",iferror(sum(query(Entrada!$A$3:$G$505,""select E where B = '""&amp;$A8&amp;""' and A = '""&amp;E$3&amp;""'"")),0))"),0.95)</f>
        <v>0.95</v>
      </c>
      <c r="F8" s="83">
        <f>IFERROR(__xludf.DUMMYFUNCTION("if(isblank($A8),"""",iferror(sum(query(Entrada!$A$3:$G$505,""select E where B = '""&amp;$A8&amp;""' and A = '""&amp;F$3&amp;""'"")),0))"),1.27)</f>
        <v>1.27</v>
      </c>
      <c r="G8" s="83">
        <f>IFERROR(__xludf.DUMMYFUNCTION("if(isblank($A8),"""",iferror(sum(query(Entrada!$A$3:$G$505,""select E where B = '""&amp;$A8&amp;""' and A = '""&amp;G$3&amp;""'"")),0))"),2.15)</f>
        <v>2.15</v>
      </c>
      <c r="H8" s="83">
        <f>IFERROR(__xludf.DUMMYFUNCTION("if(isblank($A8),"""",iferror(sum(query(Entrada!$A$3:$G$505,""select E where B = '""&amp;$A8&amp;""' and A = '""&amp;H$3&amp;""'"")),0))"),11.26)</f>
        <v>11.26</v>
      </c>
      <c r="I8" s="83">
        <f>IFERROR(__xludf.DUMMYFUNCTION("if(isblank($A8),"""",iferror(sum(query(Entrada!$A$3:$G$505,""select E where B = '""&amp;$A8&amp;""' and A = '""&amp;I$3&amp;""'"")),0))"),0.0)</f>
        <v>0</v>
      </c>
      <c r="J8" s="83">
        <f>IFERROR(__xludf.DUMMYFUNCTION("if(isblank($A8),"""",iferror(sum(query(Entrada!$A$3:$G$505,""select E where B = '""&amp;$A8&amp;""' and A = '""&amp;J$3&amp;""'"")),0))"),1.3)</f>
        <v>1.3</v>
      </c>
      <c r="K8" s="83">
        <f>IFERROR(__xludf.DUMMYFUNCTION("if(isblank($A8),"""",iferror(sum(query(Entrada!$A$3:$G$505,""select E where B = '""&amp;$A8&amp;""' and A = '""&amp;K$3&amp;""'"")),0))"),0.72)</f>
        <v>0.72</v>
      </c>
      <c r="L8" s="83">
        <f>IFERROR(__xludf.DUMMYFUNCTION("if(isblank($A8),"""",iferror(sum(query(Entrada!$A$3:$G$505,""select E where B = '""&amp;$A8&amp;""' and A = '""&amp;L$3&amp;""'"")),0))"),34.900000000000006)</f>
        <v>34.9</v>
      </c>
      <c r="M8" s="83">
        <f>IFERROR(__xludf.DUMMYFUNCTION("if(isblank($A8),"""",iferror(sum(query(Entrada!$A$3:$G$505,""select E where B = '""&amp;$A8&amp;""' and A = '""&amp;M$3&amp;""'"")),0))"),0.8600000000000001)</f>
        <v>0.86</v>
      </c>
      <c r="N8" s="84">
        <f t="shared" si="1"/>
        <v>56.42</v>
      </c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</row>
    <row r="9">
      <c r="A9" s="82" t="str">
        <f>IFERROR(__xludf.DUMMYFUNCTION("""COMPUTED_VALUE"""),"Retorno")</f>
        <v>Retorno</v>
      </c>
      <c r="B9" s="83">
        <f>IFERROR(__xludf.DUMMYFUNCTION("if(isblank($A9),"""",iferror(sum(query(Entrada!$A$3:$G$505,""select E where B = '""&amp;$A9&amp;""' and A = '""&amp;B$3&amp;""'"")),0))"),0.0)</f>
        <v>0</v>
      </c>
      <c r="C9" s="83">
        <f>IFERROR(__xludf.DUMMYFUNCTION("if(isblank($A9),"""",iferror(sum(query(Entrada!$A$3:$G$505,""select E where B = '""&amp;$A9&amp;""' and A = '""&amp;C$3&amp;""'"")),0))"),0.0)</f>
        <v>0</v>
      </c>
      <c r="D9" s="83">
        <f>IFERROR(__xludf.DUMMYFUNCTION("if(isblank($A9),"""",iferror(sum(query(Entrada!$A$3:$G$505,""select E where B = '""&amp;$A9&amp;""' and A = '""&amp;D$3&amp;""'"")),0))"),0.0)</f>
        <v>0</v>
      </c>
      <c r="E9" s="83">
        <f>IFERROR(__xludf.DUMMYFUNCTION("if(isblank($A9),"""",iferror(sum(query(Entrada!$A$3:$G$505,""select E where B = '""&amp;$A9&amp;""' and A = '""&amp;E$3&amp;""'"")),0))"),0.0)</f>
        <v>0</v>
      </c>
      <c r="F9" s="83">
        <f>IFERROR(__xludf.DUMMYFUNCTION("if(isblank($A9),"""",iferror(sum(query(Entrada!$A$3:$G$505,""select E where B = '""&amp;$A9&amp;""' and A = '""&amp;F$3&amp;""'"")),0))"),0.0)</f>
        <v>0</v>
      </c>
      <c r="G9" s="83">
        <f>IFERROR(__xludf.DUMMYFUNCTION("if(isblank($A9),"""",iferror(sum(query(Entrada!$A$3:$G$505,""select E where B = '""&amp;$A9&amp;""' and A = '""&amp;G$3&amp;""'"")),0))"),30.06)</f>
        <v>30.06</v>
      </c>
      <c r="H9" s="83">
        <f>IFERROR(__xludf.DUMMYFUNCTION("if(isblank($A9),"""",iferror(sum(query(Entrada!$A$3:$G$505,""select E where B = '""&amp;$A9&amp;""' and A = '""&amp;H$3&amp;""'"")),0))"),128.0)</f>
        <v>128</v>
      </c>
      <c r="I9" s="83">
        <f>IFERROR(__xludf.DUMMYFUNCTION("if(isblank($A9),"""",iferror(sum(query(Entrada!$A$3:$G$505,""select E where B = '""&amp;$A9&amp;""' and A = '""&amp;I$3&amp;""'"")),0))"),35.0)</f>
        <v>35</v>
      </c>
      <c r="J9" s="83">
        <f>IFERROR(__xludf.DUMMYFUNCTION("if(isblank($A9),"""",iferror(sum(query(Entrada!$A$3:$G$505,""select E where B = '""&amp;$A9&amp;""' and A = '""&amp;J$3&amp;""'"")),0))"),0.0)</f>
        <v>0</v>
      </c>
      <c r="K9" s="83">
        <f>IFERROR(__xludf.DUMMYFUNCTION("if(isblank($A9),"""",iferror(sum(query(Entrada!$A$3:$G$505,""select E where B = '""&amp;$A9&amp;""' and A = '""&amp;K$3&amp;""'"")),0))"),0.0)</f>
        <v>0</v>
      </c>
      <c r="L9" s="83">
        <f>IFERROR(__xludf.DUMMYFUNCTION("if(isblank($A9),"""",iferror(sum(query(Entrada!$A$3:$G$505,""select E where B = '""&amp;$A9&amp;""' and A = '""&amp;L$3&amp;""'"")),0))"),0.0)</f>
        <v>0</v>
      </c>
      <c r="M9" s="83">
        <f>IFERROR(__xludf.DUMMYFUNCTION("if(isblank($A9),"""",iferror(sum(query(Entrada!$A$3:$G$505,""select E where B = '""&amp;$A9&amp;""' and A = '""&amp;M$3&amp;""'"")),0))"),0.0)</f>
        <v>0</v>
      </c>
      <c r="N9" s="84">
        <f t="shared" si="1"/>
        <v>193.06</v>
      </c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</row>
    <row r="10">
      <c r="A10" s="82" t="str">
        <f>IFERROR(__xludf.DUMMYFUNCTION("""COMPUTED_VALUE"""),"Extra")</f>
        <v>Extra</v>
      </c>
      <c r="B10" s="83">
        <f>IFERROR(__xludf.DUMMYFUNCTION("if(isblank($A10),"""",iferror(sum(query(Entrada!$A$3:$G$505,""select E where B = '""&amp;$A10&amp;""' and A = '""&amp;B$3&amp;""'"")),0))"),0.0)</f>
        <v>0</v>
      </c>
      <c r="C10" s="83">
        <f>IFERROR(__xludf.DUMMYFUNCTION("if(isblank($A10),"""",iferror(sum(query(Entrada!$A$3:$G$505,""select E where B = '""&amp;$A10&amp;""' and A = '""&amp;C$3&amp;""'"")),0))"),0.0)</f>
        <v>0</v>
      </c>
      <c r="D10" s="83">
        <f>IFERROR(__xludf.DUMMYFUNCTION("if(isblank($A10),"""",iferror(sum(query(Entrada!$A$3:$G$505,""select E where B = '""&amp;$A10&amp;""' and A = '""&amp;D$3&amp;""'"")),0))"),0.0)</f>
        <v>0</v>
      </c>
      <c r="E10" s="83">
        <f>IFERROR(__xludf.DUMMYFUNCTION("if(isblank($A10),"""",iferror(sum(query(Entrada!$A$3:$G$505,""select E where B = '""&amp;$A10&amp;""' and A = '""&amp;E$3&amp;""'"")),0))"),0.0)</f>
        <v>0</v>
      </c>
      <c r="F10" s="83">
        <f>IFERROR(__xludf.DUMMYFUNCTION("if(isblank($A10),"""",iferror(sum(query(Entrada!$A$3:$G$505,""select E where B = '""&amp;$A10&amp;""' and A = '""&amp;F$3&amp;""'"")),0))"),0.0)</f>
        <v>0</v>
      </c>
      <c r="G10" s="83">
        <f>IFERROR(__xludf.DUMMYFUNCTION("if(isblank($A10),"""",iferror(sum(query(Entrada!$A$3:$G$505,""select E where B = '""&amp;$A10&amp;""' and A = '""&amp;G$3&amp;""'"")),0))"),0.0)</f>
        <v>0</v>
      </c>
      <c r="H10" s="83">
        <f>IFERROR(__xludf.DUMMYFUNCTION("if(isblank($A10),"""",iferror(sum(query(Entrada!$A$3:$G$505,""select E where B = '""&amp;$A10&amp;""' and A = '""&amp;H$3&amp;""'"")),0))"),0.0)</f>
        <v>0</v>
      </c>
      <c r="I10" s="83">
        <f>IFERROR(__xludf.DUMMYFUNCTION("if(isblank($A10),"""",iferror(sum(query(Entrada!$A$3:$G$505,""select E where B = '""&amp;$A10&amp;""' and A = '""&amp;I$3&amp;""'"")),0))"),0.0)</f>
        <v>0</v>
      </c>
      <c r="J10" s="83">
        <f>IFERROR(__xludf.DUMMYFUNCTION("if(isblank($A10),"""",iferror(sum(query(Entrada!$A$3:$G$505,""select E where B = '""&amp;$A10&amp;""' and A = '""&amp;J$3&amp;""'"")),0))"),0.0)</f>
        <v>0</v>
      </c>
      <c r="K10" s="83">
        <f>IFERROR(__xludf.DUMMYFUNCTION("if(isblank($A10),"""",iferror(sum(query(Entrada!$A$3:$G$505,""select E where B = '""&amp;$A10&amp;""' and A = '""&amp;K$3&amp;""'"")),0))"),0.0)</f>
        <v>0</v>
      </c>
      <c r="L10" s="83">
        <f>IFERROR(__xludf.DUMMYFUNCTION("if(isblank($A10),"""",iferror(sum(query(Entrada!$A$3:$G$505,""select E where B = '""&amp;$A10&amp;""' and A = '""&amp;L$3&amp;""'"")),0))"),0.0)</f>
        <v>0</v>
      </c>
      <c r="M10" s="83">
        <f>IFERROR(__xludf.DUMMYFUNCTION("if(isblank($A10),"""",iferror(sum(query(Entrada!$A$3:$G$505,""select E where B = '""&amp;$A10&amp;""' and A = '""&amp;M$3&amp;""'"")),0))"),0.0)</f>
        <v>0</v>
      </c>
      <c r="N10" s="84">
        <f t="shared" si="1"/>
        <v>0</v>
      </c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</row>
    <row r="11">
      <c r="A11" s="82"/>
      <c r="B11" s="83" t="str">
        <f>IFERROR(__xludf.DUMMYFUNCTION("if(isblank($A11),"""",iferror(sum(query(Entrada!$A$3:$G$505,""select E where B = '""&amp;$A11&amp;""' and A = '""&amp;B$3&amp;""'"")),0))"),"")</f>
        <v/>
      </c>
      <c r="C11" s="83" t="str">
        <f>IFERROR(__xludf.DUMMYFUNCTION("if(isblank($A11),"""",iferror(sum(query(Entrada!$A$3:$G$505,""select E where B = '""&amp;$A11&amp;""' and A = '""&amp;C$3&amp;""'"")),0))"),"")</f>
        <v/>
      </c>
      <c r="D11" s="83" t="str">
        <f>IFERROR(__xludf.DUMMYFUNCTION("if(isblank($A11),"""",iferror(sum(query(Entrada!$A$3:$G$505,""select E where B = '""&amp;$A11&amp;""' and A = '""&amp;D$3&amp;""'"")),0))"),"")</f>
        <v/>
      </c>
      <c r="E11" s="83" t="str">
        <f>IFERROR(__xludf.DUMMYFUNCTION("if(isblank($A11),"""",iferror(sum(query(Entrada!$A$3:$G$505,""select E where B = '""&amp;$A11&amp;""' and A = '""&amp;E$3&amp;""'"")),0))"),"")</f>
        <v/>
      </c>
      <c r="F11" s="83" t="str">
        <f>IFERROR(__xludf.DUMMYFUNCTION("if(isblank($A11),"""",iferror(sum(query(Entrada!$A$3:$G$505,""select E where B = '""&amp;$A11&amp;""' and A = '""&amp;F$3&amp;""'"")),0))"),"")</f>
        <v/>
      </c>
      <c r="G11" s="83" t="str">
        <f>IFERROR(__xludf.DUMMYFUNCTION("if(isblank($A11),"""",iferror(sum(query(Entrada!$A$3:$G$505,""select E where B = '""&amp;$A11&amp;""' and A = '""&amp;G$3&amp;""'"")),0))"),"")</f>
        <v/>
      </c>
      <c r="H11" s="83" t="str">
        <f>IFERROR(__xludf.DUMMYFUNCTION("if(isblank($A11),"""",iferror(sum(query(Entrada!$A$3:$G$505,""select E where B = '""&amp;$A11&amp;""' and A = '""&amp;H$3&amp;""'"")),0))"),"")</f>
        <v/>
      </c>
      <c r="I11" s="83" t="str">
        <f>IFERROR(__xludf.DUMMYFUNCTION("if(isblank($A11),"""",iferror(sum(query(Entrada!$A$3:$G$505,""select E where B = '""&amp;$A11&amp;""' and A = '""&amp;I$3&amp;""'"")),0))"),"")</f>
        <v/>
      </c>
      <c r="J11" s="83" t="str">
        <f>IFERROR(__xludf.DUMMYFUNCTION("if(isblank($A11),"""",iferror(sum(query(Entrada!$A$3:$G$505,""select E where B = '""&amp;$A11&amp;""' and A = '""&amp;J$3&amp;""'"")),0))"),"")</f>
        <v/>
      </c>
      <c r="K11" s="83" t="str">
        <f>IFERROR(__xludf.DUMMYFUNCTION("if(isblank($A11),"""",iferror(sum(query(Entrada!$A$3:$G$505,""select E where B = '""&amp;$A11&amp;""' and A = '""&amp;K$3&amp;""'"")),0))"),"")</f>
        <v/>
      </c>
      <c r="L11" s="83" t="str">
        <f>IFERROR(__xludf.DUMMYFUNCTION("if(isblank($A11),"""",iferror(sum(query(Entrada!$A$3:$G$505,""select E where B = '""&amp;$A11&amp;""' and A = '""&amp;L$3&amp;""'"")),0))"),"")</f>
        <v/>
      </c>
      <c r="M11" s="83" t="str">
        <f>IFERROR(__xludf.DUMMYFUNCTION("if(isblank($A11),"""",iferror(sum(query(Entrada!$A$3:$G$505,""select E where B = '""&amp;$A11&amp;""' and A = '""&amp;M$3&amp;""'"")),0))"),"")</f>
        <v/>
      </c>
      <c r="N11" s="84" t="str">
        <f t="shared" si="1"/>
        <v/>
      </c>
      <c r="P11" s="85"/>
    </row>
    <row r="12">
      <c r="A12" s="86"/>
      <c r="B12" s="83" t="str">
        <f>IFERROR(__xludf.DUMMYFUNCTION("if(isblank($A12),"""",iferror(sum(query(Entrada!$A$3:$G$505,""select E where B = '""&amp;$A12&amp;""' and A = '""&amp;B$3&amp;""'"")),0))"),"")</f>
        <v/>
      </c>
      <c r="C12" s="83" t="str">
        <f>IFERROR(__xludf.DUMMYFUNCTION("if(isblank($A12),"""",iferror(sum(query(Entrada!$A$3:$G$505,""select E where B = '""&amp;$A12&amp;""' and A = '""&amp;C$3&amp;""'"")),0))"),"")</f>
        <v/>
      </c>
      <c r="D12" s="83" t="str">
        <f>IFERROR(__xludf.DUMMYFUNCTION("if(isblank($A12),"""",iferror(sum(query(Entrada!$A$3:$G$505,""select E where B = '""&amp;$A12&amp;""' and A = '""&amp;D$3&amp;""'"")),0))"),"")</f>
        <v/>
      </c>
      <c r="E12" s="83" t="str">
        <f>IFERROR(__xludf.DUMMYFUNCTION("if(isblank($A12),"""",iferror(sum(query(Entrada!$A$3:$G$505,""select E where B = '""&amp;$A12&amp;""' and A = '""&amp;E$3&amp;""'"")),0))"),"")</f>
        <v/>
      </c>
      <c r="F12" s="83" t="str">
        <f>IFERROR(__xludf.DUMMYFUNCTION("if(isblank($A12),"""",iferror(sum(query(Entrada!$A$3:$G$505,""select E where B = '""&amp;$A12&amp;""' and A = '""&amp;F$3&amp;""'"")),0))"),"")</f>
        <v/>
      </c>
      <c r="G12" s="83" t="str">
        <f>IFERROR(__xludf.DUMMYFUNCTION("if(isblank($A12),"""",iferror(sum(query(Entrada!$A$3:$G$505,""select E where B = '""&amp;$A12&amp;""' and A = '""&amp;G$3&amp;""'"")),0))"),"")</f>
        <v/>
      </c>
      <c r="H12" s="83" t="str">
        <f>IFERROR(__xludf.DUMMYFUNCTION("if(isblank($A12),"""",iferror(sum(query(Entrada!$A$3:$G$505,""select E where B = '""&amp;$A12&amp;""' and A = '""&amp;H$3&amp;""'"")),0))"),"")</f>
        <v/>
      </c>
      <c r="I12" s="83" t="str">
        <f>IFERROR(__xludf.DUMMYFUNCTION("if(isblank($A12),"""",iferror(sum(query(Entrada!$A$3:$G$505,""select E where B = '""&amp;$A12&amp;""' and A = '""&amp;I$3&amp;""'"")),0))"),"")</f>
        <v/>
      </c>
      <c r="J12" s="83" t="str">
        <f>IFERROR(__xludf.DUMMYFUNCTION("if(isblank($A12),"""",iferror(sum(query(Entrada!$A$3:$G$505,""select E where B = '""&amp;$A12&amp;""' and A = '""&amp;J$3&amp;""'"")),0))"),"")</f>
        <v/>
      </c>
      <c r="K12" s="83" t="str">
        <f>IFERROR(__xludf.DUMMYFUNCTION("if(isblank($A12),"""",iferror(sum(query(Entrada!$A$3:$G$505,""select E where B = '""&amp;$A12&amp;""' and A = '""&amp;K$3&amp;""'"")),0))"),"")</f>
        <v/>
      </c>
      <c r="L12" s="83" t="str">
        <f>IFERROR(__xludf.DUMMYFUNCTION("if(isblank($A12),"""",iferror(sum(query(Entrada!$A$3:$G$505,""select E where B = '""&amp;$A12&amp;""' and A = '""&amp;L$3&amp;""'"")),0))"),"")</f>
        <v/>
      </c>
      <c r="M12" s="83" t="str">
        <f>IFERROR(__xludf.DUMMYFUNCTION("if(isblank($A12),"""",iferror(sum(query(Entrada!$A$3:$G$505,""select E where B = '""&amp;$A12&amp;""' and A = '""&amp;M$3&amp;""'"")),0))"),"")</f>
        <v/>
      </c>
      <c r="N12" s="84" t="str">
        <f t="shared" si="1"/>
        <v/>
      </c>
      <c r="O12" s="8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>
      <c r="A13" s="86"/>
      <c r="B13" s="83" t="str">
        <f>IFERROR(__xludf.DUMMYFUNCTION("if(isblank($A13),"""",iferror(sum(query(Entrada!$A$3:$G$505,""select E where B = '""&amp;$A13&amp;""' and A = '""&amp;B$3&amp;""'"")),0))"),"")</f>
        <v/>
      </c>
      <c r="C13" s="83" t="str">
        <f>IFERROR(__xludf.DUMMYFUNCTION("if(isblank($A13),"""",iferror(sum(query(Entrada!$A$3:$G$505,""select E where B = '""&amp;$A13&amp;""' and A = '""&amp;C$3&amp;""'"")),0))"),"")</f>
        <v/>
      </c>
      <c r="D13" s="83" t="str">
        <f>IFERROR(__xludf.DUMMYFUNCTION("if(isblank($A13),"""",iferror(sum(query(Entrada!$A$3:$G$505,""select E where B = '""&amp;$A13&amp;""' and A = '""&amp;D$3&amp;""'"")),0))"),"")</f>
        <v/>
      </c>
      <c r="E13" s="83" t="str">
        <f>IFERROR(__xludf.DUMMYFUNCTION("if(isblank($A13),"""",iferror(sum(query(Entrada!$A$3:$G$505,""select E where B = '""&amp;$A13&amp;""' and A = '""&amp;E$3&amp;""'"")),0))"),"")</f>
        <v/>
      </c>
      <c r="F13" s="83" t="str">
        <f>IFERROR(__xludf.DUMMYFUNCTION("if(isblank($A13),"""",iferror(sum(query(Entrada!$A$3:$G$505,""select E where B = '""&amp;$A13&amp;""' and A = '""&amp;F$3&amp;""'"")),0))"),"")</f>
        <v/>
      </c>
      <c r="G13" s="83" t="str">
        <f>IFERROR(__xludf.DUMMYFUNCTION("if(isblank($A13),"""",iferror(sum(query(Entrada!$A$3:$G$505,""select E where B = '""&amp;$A13&amp;""' and A = '""&amp;G$3&amp;""'"")),0))"),"")</f>
        <v/>
      </c>
      <c r="H13" s="83" t="str">
        <f>IFERROR(__xludf.DUMMYFUNCTION("if(isblank($A13),"""",iferror(sum(query(Entrada!$A$3:$G$505,""select E where B = '""&amp;$A13&amp;""' and A = '""&amp;H$3&amp;""'"")),0))"),"")</f>
        <v/>
      </c>
      <c r="I13" s="83" t="str">
        <f>IFERROR(__xludf.DUMMYFUNCTION("if(isblank($A13),"""",iferror(sum(query(Entrada!$A$3:$G$505,""select E where B = '""&amp;$A13&amp;""' and A = '""&amp;I$3&amp;""'"")),0))"),"")</f>
        <v/>
      </c>
      <c r="J13" s="83" t="str">
        <f>IFERROR(__xludf.DUMMYFUNCTION("if(isblank($A13),"""",iferror(sum(query(Entrada!$A$3:$G$505,""select E where B = '""&amp;$A13&amp;""' and A = '""&amp;J$3&amp;""'"")),0))"),"")</f>
        <v/>
      </c>
      <c r="K13" s="83" t="str">
        <f>IFERROR(__xludf.DUMMYFUNCTION("if(isblank($A13),"""",iferror(sum(query(Entrada!$A$3:$G$505,""select E where B = '""&amp;$A13&amp;""' and A = '""&amp;K$3&amp;""'"")),0))"),"")</f>
        <v/>
      </c>
      <c r="L13" s="83" t="str">
        <f>IFERROR(__xludf.DUMMYFUNCTION("if(isblank($A13),"""",iferror(sum(query(Entrada!$A$3:$G$505,""select E where B = '""&amp;$A13&amp;""' and A = '""&amp;L$3&amp;""'"")),0))"),"")</f>
        <v/>
      </c>
      <c r="M13" s="83" t="str">
        <f>IFERROR(__xludf.DUMMYFUNCTION("if(isblank($A13),"""",iferror(sum(query(Entrada!$A$3:$G$505,""select E where B = '""&amp;$A13&amp;""' and A = '""&amp;M$3&amp;""'"")),0))"),"")</f>
        <v/>
      </c>
      <c r="N13" s="84" t="str">
        <f t="shared" si="1"/>
        <v/>
      </c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</row>
    <row r="14">
      <c r="A14" s="86"/>
      <c r="B14" s="83" t="str">
        <f>IFERROR(__xludf.DUMMYFUNCTION("if(isblank($A14),"""",iferror(sum(query(Entrada!$A$3:$G$505,""select E where B = '""&amp;$A14&amp;""' and A = '""&amp;B$3&amp;""'"")),0))"),"")</f>
        <v/>
      </c>
      <c r="C14" s="83" t="str">
        <f>IFERROR(__xludf.DUMMYFUNCTION("if(isblank($A14),"""",iferror(sum(query(Entrada!$A$3:$G$505,""select E where B = '""&amp;$A14&amp;""' and A = '""&amp;C$3&amp;""'"")),0))"),"")</f>
        <v/>
      </c>
      <c r="D14" s="83" t="str">
        <f>IFERROR(__xludf.DUMMYFUNCTION("if(isblank($A14),"""",iferror(sum(query(Entrada!$A$3:$G$505,""select E where B = '""&amp;$A14&amp;""' and A = '""&amp;D$3&amp;""'"")),0))"),"")</f>
        <v/>
      </c>
      <c r="E14" s="83" t="str">
        <f>IFERROR(__xludf.DUMMYFUNCTION("if(isblank($A14),"""",iferror(sum(query(Entrada!$A$3:$G$505,""select E where B = '""&amp;$A14&amp;""' and A = '""&amp;E$3&amp;""'"")),0))"),"")</f>
        <v/>
      </c>
      <c r="F14" s="83" t="str">
        <f>IFERROR(__xludf.DUMMYFUNCTION("if(isblank($A14),"""",iferror(sum(query(Entrada!$A$3:$G$505,""select E where B = '""&amp;$A14&amp;""' and A = '""&amp;F$3&amp;""'"")),0))"),"")</f>
        <v/>
      </c>
      <c r="G14" s="83" t="str">
        <f>IFERROR(__xludf.DUMMYFUNCTION("if(isblank($A14),"""",iferror(sum(query(Entrada!$A$3:$G$505,""select E where B = '""&amp;$A14&amp;""' and A = '""&amp;G$3&amp;""'"")),0))"),"")</f>
        <v/>
      </c>
      <c r="H14" s="83" t="str">
        <f>IFERROR(__xludf.DUMMYFUNCTION("if(isblank($A14),"""",iferror(sum(query(Entrada!$A$3:$G$505,""select E where B = '""&amp;$A14&amp;""' and A = '""&amp;H$3&amp;""'"")),0))"),"")</f>
        <v/>
      </c>
      <c r="I14" s="83" t="str">
        <f>IFERROR(__xludf.DUMMYFUNCTION("if(isblank($A14),"""",iferror(sum(query(Entrada!$A$3:$G$505,""select E where B = '""&amp;$A14&amp;""' and A = '""&amp;I$3&amp;""'"")),0))"),"")</f>
        <v/>
      </c>
      <c r="J14" s="83" t="str">
        <f>IFERROR(__xludf.DUMMYFUNCTION("if(isblank($A14),"""",iferror(sum(query(Entrada!$A$3:$G$505,""select E where B = '""&amp;$A14&amp;""' and A = '""&amp;J$3&amp;""'"")),0))"),"")</f>
        <v/>
      </c>
      <c r="K14" s="83" t="str">
        <f>IFERROR(__xludf.DUMMYFUNCTION("if(isblank($A14),"""",iferror(sum(query(Entrada!$A$3:$G$505,""select E where B = '""&amp;$A14&amp;""' and A = '""&amp;K$3&amp;""'"")),0))"),"")</f>
        <v/>
      </c>
      <c r="L14" s="83" t="str">
        <f>IFERROR(__xludf.DUMMYFUNCTION("if(isblank($A14),"""",iferror(sum(query(Entrada!$A$3:$G$505,""select E where B = '""&amp;$A14&amp;""' and A = '""&amp;L$3&amp;""'"")),0))"),"")</f>
        <v/>
      </c>
      <c r="M14" s="83" t="str">
        <f>IFERROR(__xludf.DUMMYFUNCTION("if(isblank($A14),"""",iferror(sum(query(Entrada!$A$3:$G$505,""select E where B = '""&amp;$A14&amp;""' and A = '""&amp;M$3&amp;""'"")),0))"),"")</f>
        <v/>
      </c>
      <c r="N14" s="84" t="str">
        <f t="shared" si="1"/>
        <v/>
      </c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</row>
    <row r="15">
      <c r="A15" s="86"/>
      <c r="B15" s="83" t="str">
        <f>IFERROR(__xludf.DUMMYFUNCTION("if(isblank($A15),"""",iferror(sum(query(Entrada!$A$3:$G$505,""select E where B = '""&amp;$A15&amp;""' and A = '""&amp;B$3&amp;""'"")),0))"),"")</f>
        <v/>
      </c>
      <c r="C15" s="83" t="str">
        <f>IFERROR(__xludf.DUMMYFUNCTION("if(isblank($A15),"""",iferror(sum(query(Entrada!$A$3:$G$505,""select E where B = '""&amp;$A15&amp;""' and A = '""&amp;C$3&amp;""'"")),0))"),"")</f>
        <v/>
      </c>
      <c r="D15" s="83" t="str">
        <f>IFERROR(__xludf.DUMMYFUNCTION("if(isblank($A15),"""",iferror(sum(query(Entrada!$A$3:$G$505,""select E where B = '""&amp;$A15&amp;""' and A = '""&amp;D$3&amp;""'"")),0))"),"")</f>
        <v/>
      </c>
      <c r="E15" s="83" t="str">
        <f>IFERROR(__xludf.DUMMYFUNCTION("if(isblank($A15),"""",iferror(sum(query(Entrada!$A$3:$G$505,""select E where B = '""&amp;$A15&amp;""' and A = '""&amp;E$3&amp;""'"")),0))"),"")</f>
        <v/>
      </c>
      <c r="F15" s="83" t="str">
        <f>IFERROR(__xludf.DUMMYFUNCTION("if(isblank($A15),"""",iferror(sum(query(Entrada!$A$3:$G$505,""select E where B = '""&amp;$A15&amp;""' and A = '""&amp;F$3&amp;""'"")),0))"),"")</f>
        <v/>
      </c>
      <c r="G15" s="83" t="str">
        <f>IFERROR(__xludf.DUMMYFUNCTION("if(isblank($A15),"""",iferror(sum(query(Entrada!$A$3:$G$505,""select E where B = '""&amp;$A15&amp;""' and A = '""&amp;G$3&amp;""'"")),0))"),"")</f>
        <v/>
      </c>
      <c r="H15" s="83" t="str">
        <f>IFERROR(__xludf.DUMMYFUNCTION("if(isblank($A15),"""",iferror(sum(query(Entrada!$A$3:$G$505,""select E where B = '""&amp;$A15&amp;""' and A = '""&amp;H$3&amp;""'"")),0))"),"")</f>
        <v/>
      </c>
      <c r="I15" s="83" t="str">
        <f>IFERROR(__xludf.DUMMYFUNCTION("if(isblank($A15),"""",iferror(sum(query(Entrada!$A$3:$G$505,""select E where B = '""&amp;$A15&amp;""' and A = '""&amp;I$3&amp;""'"")),0))"),"")</f>
        <v/>
      </c>
      <c r="J15" s="83" t="str">
        <f>IFERROR(__xludf.DUMMYFUNCTION("if(isblank($A15),"""",iferror(sum(query(Entrada!$A$3:$G$505,""select E where B = '""&amp;$A15&amp;""' and A = '""&amp;J$3&amp;""'"")),0))"),"")</f>
        <v/>
      </c>
      <c r="K15" s="83" t="str">
        <f>IFERROR(__xludf.DUMMYFUNCTION("if(isblank($A15),"""",iferror(sum(query(Entrada!$A$3:$G$505,""select E where B = '""&amp;$A15&amp;""' and A = '""&amp;K$3&amp;""'"")),0))"),"")</f>
        <v/>
      </c>
      <c r="L15" s="83" t="str">
        <f>IFERROR(__xludf.DUMMYFUNCTION("if(isblank($A15),"""",iferror(sum(query(Entrada!$A$3:$G$505,""select E where B = '""&amp;$A15&amp;""' and A = '""&amp;L$3&amp;""'"")),0))"),"")</f>
        <v/>
      </c>
      <c r="M15" s="83" t="str">
        <f>IFERROR(__xludf.DUMMYFUNCTION("if(isblank($A15),"""",iferror(sum(query(Entrada!$A$3:$G$505,""select E where B = '""&amp;$A15&amp;""' and A = '""&amp;M$3&amp;""'"")),0))"),"")</f>
        <v/>
      </c>
      <c r="N15" s="84" t="str">
        <f t="shared" si="1"/>
        <v/>
      </c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</row>
    <row r="16">
      <c r="A16" s="86"/>
      <c r="B16" s="83" t="str">
        <f>IFERROR(__xludf.DUMMYFUNCTION("if(isblank($A16),"""",iferror(sum(query(Entrada!$A$3:$G$505,""select E where B = '""&amp;$A16&amp;""' and A = '""&amp;B$3&amp;""'"")),0))"),"")</f>
        <v/>
      </c>
      <c r="C16" s="83" t="str">
        <f>IFERROR(__xludf.DUMMYFUNCTION("if(isblank($A16),"""",iferror(sum(query(Entrada!$A$3:$G$505,""select E where B = '""&amp;$A16&amp;""' and A = '""&amp;C$3&amp;""'"")),0))"),"")</f>
        <v/>
      </c>
      <c r="D16" s="83" t="str">
        <f>IFERROR(__xludf.DUMMYFUNCTION("if(isblank($A16),"""",iferror(sum(query(Entrada!$A$3:$G$505,""select E where B = '""&amp;$A16&amp;""' and A = '""&amp;D$3&amp;""'"")),0))"),"")</f>
        <v/>
      </c>
      <c r="E16" s="83" t="str">
        <f>IFERROR(__xludf.DUMMYFUNCTION("if(isblank($A16),"""",iferror(sum(query(Entrada!$A$3:$G$505,""select E where B = '""&amp;$A16&amp;""' and A = '""&amp;E$3&amp;""'"")),0))"),"")</f>
        <v/>
      </c>
      <c r="F16" s="83" t="str">
        <f>IFERROR(__xludf.DUMMYFUNCTION("if(isblank($A16),"""",iferror(sum(query(Entrada!$A$3:$G$505,""select E where B = '""&amp;$A16&amp;""' and A = '""&amp;F$3&amp;""'"")),0))"),"")</f>
        <v/>
      </c>
      <c r="G16" s="83" t="str">
        <f>IFERROR(__xludf.DUMMYFUNCTION("if(isblank($A16),"""",iferror(sum(query(Entrada!$A$3:$G$505,""select E where B = '""&amp;$A16&amp;""' and A = '""&amp;G$3&amp;""'"")),0))"),"")</f>
        <v/>
      </c>
      <c r="H16" s="83" t="str">
        <f>IFERROR(__xludf.DUMMYFUNCTION("if(isblank($A16),"""",iferror(sum(query(Entrada!$A$3:$G$505,""select E where B = '""&amp;$A16&amp;""' and A = '""&amp;H$3&amp;""'"")),0))"),"")</f>
        <v/>
      </c>
      <c r="I16" s="83" t="str">
        <f>IFERROR(__xludf.DUMMYFUNCTION("if(isblank($A16),"""",iferror(sum(query(Entrada!$A$3:$G$505,""select E where B = '""&amp;$A16&amp;""' and A = '""&amp;I$3&amp;""'"")),0))"),"")</f>
        <v/>
      </c>
      <c r="J16" s="83" t="str">
        <f>IFERROR(__xludf.DUMMYFUNCTION("if(isblank($A16),"""",iferror(sum(query(Entrada!$A$3:$G$505,""select E where B = '""&amp;$A16&amp;""' and A = '""&amp;J$3&amp;""'"")),0))"),"")</f>
        <v/>
      </c>
      <c r="K16" s="83" t="str">
        <f>IFERROR(__xludf.DUMMYFUNCTION("if(isblank($A16),"""",iferror(sum(query(Entrada!$A$3:$G$505,""select E where B = '""&amp;$A16&amp;""' and A = '""&amp;K$3&amp;""'"")),0))"),"")</f>
        <v/>
      </c>
      <c r="L16" s="83" t="str">
        <f>IFERROR(__xludf.DUMMYFUNCTION("if(isblank($A16),"""",iferror(sum(query(Entrada!$A$3:$G$505,""select E where B = '""&amp;$A16&amp;""' and A = '""&amp;L$3&amp;""'"")),0))"),"")</f>
        <v/>
      </c>
      <c r="M16" s="83" t="str">
        <f>IFERROR(__xludf.DUMMYFUNCTION("if(isblank($A16),"""",iferror(sum(query(Entrada!$A$3:$G$505,""select E where B = '""&amp;$A16&amp;""' and A = '""&amp;M$3&amp;""'"")),0))"),"")</f>
        <v/>
      </c>
      <c r="N16" s="84" t="str">
        <f t="shared" si="1"/>
        <v/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</row>
    <row r="17">
      <c r="A17" s="86"/>
      <c r="B17" s="83" t="str">
        <f>IFERROR(__xludf.DUMMYFUNCTION("if(isblank($A17),"""",iferror(sum(query(Entrada!$A$3:$G$505,""select E where B = '""&amp;$A17&amp;""' and A = '""&amp;B$3&amp;""'"")),0))"),"")</f>
        <v/>
      </c>
      <c r="C17" s="83" t="str">
        <f>IFERROR(__xludf.DUMMYFUNCTION("if(isblank($A17),"""",iferror(sum(query(Entrada!$A$3:$G$505,""select E where B = '""&amp;$A17&amp;""' and A = '""&amp;C$3&amp;""'"")),0))"),"")</f>
        <v/>
      </c>
      <c r="D17" s="83" t="str">
        <f>IFERROR(__xludf.DUMMYFUNCTION("if(isblank($A17),"""",iferror(sum(query(Entrada!$A$3:$G$505,""select E where B = '""&amp;$A17&amp;""' and A = '""&amp;D$3&amp;""'"")),0))"),"")</f>
        <v/>
      </c>
      <c r="E17" s="83" t="str">
        <f>IFERROR(__xludf.DUMMYFUNCTION("if(isblank($A17),"""",iferror(sum(query(Entrada!$A$3:$G$505,""select E where B = '""&amp;$A17&amp;""' and A = '""&amp;E$3&amp;""'"")),0))"),"")</f>
        <v/>
      </c>
      <c r="F17" s="83" t="str">
        <f>IFERROR(__xludf.DUMMYFUNCTION("if(isblank($A17),"""",iferror(sum(query(Entrada!$A$3:$G$505,""select E where B = '""&amp;$A17&amp;""' and A = '""&amp;F$3&amp;""'"")),0))"),"")</f>
        <v/>
      </c>
      <c r="G17" s="83" t="str">
        <f>IFERROR(__xludf.DUMMYFUNCTION("if(isblank($A17),"""",iferror(sum(query(Entrada!$A$3:$G$505,""select E where B = '""&amp;$A17&amp;""' and A = '""&amp;G$3&amp;""'"")),0))"),"")</f>
        <v/>
      </c>
      <c r="H17" s="83" t="str">
        <f>IFERROR(__xludf.DUMMYFUNCTION("if(isblank($A17),"""",iferror(sum(query(Entrada!$A$3:$G$505,""select E where B = '""&amp;$A17&amp;""' and A = '""&amp;H$3&amp;""'"")),0))"),"")</f>
        <v/>
      </c>
      <c r="I17" s="83" t="str">
        <f>IFERROR(__xludf.DUMMYFUNCTION("if(isblank($A17),"""",iferror(sum(query(Entrada!$A$3:$G$505,""select E where B = '""&amp;$A17&amp;""' and A = '""&amp;I$3&amp;""'"")),0))"),"")</f>
        <v/>
      </c>
      <c r="J17" s="83" t="str">
        <f>IFERROR(__xludf.DUMMYFUNCTION("if(isblank($A17),"""",iferror(sum(query(Entrada!$A$3:$G$505,""select E where B = '""&amp;$A17&amp;""' and A = '""&amp;J$3&amp;""'"")),0))"),"")</f>
        <v/>
      </c>
      <c r="K17" s="83" t="str">
        <f>IFERROR(__xludf.DUMMYFUNCTION("if(isblank($A17),"""",iferror(sum(query(Entrada!$A$3:$G$505,""select E where B = '""&amp;$A17&amp;""' and A = '""&amp;K$3&amp;""'"")),0))"),"")</f>
        <v/>
      </c>
      <c r="L17" s="83" t="str">
        <f>IFERROR(__xludf.DUMMYFUNCTION("if(isblank($A17),"""",iferror(sum(query(Entrada!$A$3:$G$505,""select E where B = '""&amp;$A17&amp;""' and A = '""&amp;L$3&amp;""'"")),0))"),"")</f>
        <v/>
      </c>
      <c r="M17" s="83" t="str">
        <f>IFERROR(__xludf.DUMMYFUNCTION("if(isblank($A17),"""",iferror(sum(query(Entrada!$A$3:$G$505,""select E where B = '""&amp;$A17&amp;""' and A = '""&amp;M$3&amp;""'"")),0))"),"")</f>
        <v/>
      </c>
      <c r="N17" s="84" t="str">
        <f t="shared" si="1"/>
        <v/>
      </c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</row>
    <row r="18">
      <c r="A18" s="82"/>
      <c r="B18" s="83" t="str">
        <f>IFERROR(__xludf.DUMMYFUNCTION("if(isblank($A18),"""",iferror(sum(query(Entrada!$A$3:$G$505,""select E where B = '""&amp;$A18&amp;""' and A = '""&amp;B$3&amp;""'"")),0))"),"")</f>
        <v/>
      </c>
      <c r="C18" s="83" t="str">
        <f>IFERROR(__xludf.DUMMYFUNCTION("if(isblank($A18),"""",iferror(sum(query(Entrada!$A$3:$G$505,""select E where B = '""&amp;$A18&amp;""' and A = '""&amp;C$3&amp;""'"")),0))"),"")</f>
        <v/>
      </c>
      <c r="D18" s="83" t="str">
        <f>IFERROR(__xludf.DUMMYFUNCTION("if(isblank($A18),"""",iferror(sum(query(Entrada!$A$3:$G$505,""select E where B = '""&amp;$A18&amp;""' and A = '""&amp;D$3&amp;""'"")),0))"),"")</f>
        <v/>
      </c>
      <c r="E18" s="83" t="str">
        <f>IFERROR(__xludf.DUMMYFUNCTION("if(isblank($A18),"""",iferror(sum(query(Entrada!$A$3:$G$505,""select E where B = '""&amp;$A18&amp;""' and A = '""&amp;E$3&amp;""'"")),0))"),"")</f>
        <v/>
      </c>
      <c r="F18" s="83" t="str">
        <f>IFERROR(__xludf.DUMMYFUNCTION("if(isblank($A18),"""",iferror(sum(query(Entrada!$A$3:$G$505,""select E where B = '""&amp;$A18&amp;""' and A = '""&amp;F$3&amp;""'"")),0))"),"")</f>
        <v/>
      </c>
      <c r="G18" s="83" t="str">
        <f>IFERROR(__xludf.DUMMYFUNCTION("if(isblank($A18),"""",iferror(sum(query(Entrada!$A$3:$G$505,""select E where B = '""&amp;$A18&amp;""' and A = '""&amp;G$3&amp;""'"")),0))"),"")</f>
        <v/>
      </c>
      <c r="H18" s="83" t="str">
        <f>IFERROR(__xludf.DUMMYFUNCTION("if(isblank($A18),"""",iferror(sum(query(Entrada!$A$3:$G$505,""select E where B = '""&amp;$A18&amp;""' and A = '""&amp;H$3&amp;""'"")),0))"),"")</f>
        <v/>
      </c>
      <c r="I18" s="83" t="str">
        <f>IFERROR(__xludf.DUMMYFUNCTION("if(isblank($A18),"""",iferror(sum(query(Entrada!$A$3:$G$505,""select E where B = '""&amp;$A18&amp;""' and A = '""&amp;I$3&amp;""'"")),0))"),"")</f>
        <v/>
      </c>
      <c r="J18" s="83" t="str">
        <f>IFERROR(__xludf.DUMMYFUNCTION("if(isblank($A18),"""",iferror(sum(query(Entrada!$A$3:$G$505,""select E where B = '""&amp;$A18&amp;""' and A = '""&amp;J$3&amp;""'"")),0))"),"")</f>
        <v/>
      </c>
      <c r="K18" s="83" t="str">
        <f>IFERROR(__xludf.DUMMYFUNCTION("if(isblank($A18),"""",iferror(sum(query(Entrada!$A$3:$G$505,""select E where B = '""&amp;$A18&amp;""' and A = '""&amp;K$3&amp;""'"")),0))"),"")</f>
        <v/>
      </c>
      <c r="L18" s="83" t="str">
        <f>IFERROR(__xludf.DUMMYFUNCTION("if(isblank($A18),"""",iferror(sum(query(Entrada!$A$3:$G$505,""select E where B = '""&amp;$A18&amp;""' and A = '""&amp;L$3&amp;""'"")),0))"),"")</f>
        <v/>
      </c>
      <c r="M18" s="83" t="str">
        <f>IFERROR(__xludf.DUMMYFUNCTION("if(isblank($A18),"""",iferror(sum(query(Entrada!$A$3:$G$505,""select E where B = '""&amp;$A18&amp;""' and A = '""&amp;M$3&amp;""'"")),0))"),"")</f>
        <v/>
      </c>
      <c r="N18" s="84" t="str">
        <f t="shared" si="1"/>
        <v/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</row>
    <row r="19">
      <c r="A19" s="82"/>
      <c r="B19" s="83" t="str">
        <f>IFERROR(__xludf.DUMMYFUNCTION("if(isblank($A19),"""",iferror(sum(query(Entrada!$A$3:$G$505,""select E where B = '""&amp;$A19&amp;""' and A = '""&amp;B$3&amp;""'"")),0))"),"")</f>
        <v/>
      </c>
      <c r="C19" s="83" t="str">
        <f>IFERROR(__xludf.DUMMYFUNCTION("if(isblank($A19),"""",iferror(sum(query(Entrada!$A$3:$G$505,""select E where B = '""&amp;$A19&amp;""' and A = '""&amp;C$3&amp;""'"")),0))"),"")</f>
        <v/>
      </c>
      <c r="D19" s="83" t="str">
        <f>IFERROR(__xludf.DUMMYFUNCTION("if(isblank($A19),"""",iferror(sum(query(Entrada!$A$3:$G$505,""select E where B = '""&amp;$A19&amp;""' and A = '""&amp;D$3&amp;""'"")),0))"),"")</f>
        <v/>
      </c>
      <c r="E19" s="83" t="str">
        <f>IFERROR(__xludf.DUMMYFUNCTION("if(isblank($A19),"""",iferror(sum(query(Entrada!$A$3:$G$505,""select E where B = '""&amp;$A19&amp;""' and A = '""&amp;E$3&amp;""'"")),0))"),"")</f>
        <v/>
      </c>
      <c r="F19" s="83" t="str">
        <f>IFERROR(__xludf.DUMMYFUNCTION("if(isblank($A19),"""",iferror(sum(query(Entrada!$A$3:$G$505,""select E where B = '""&amp;$A19&amp;""' and A = '""&amp;F$3&amp;""'"")),0))"),"")</f>
        <v/>
      </c>
      <c r="G19" s="83" t="str">
        <f>IFERROR(__xludf.DUMMYFUNCTION("if(isblank($A19),"""",iferror(sum(query(Entrada!$A$3:$G$505,""select E where B = '""&amp;$A19&amp;""' and A = '""&amp;G$3&amp;""'"")),0))"),"")</f>
        <v/>
      </c>
      <c r="H19" s="83" t="str">
        <f>IFERROR(__xludf.DUMMYFUNCTION("if(isblank($A19),"""",iferror(sum(query(Entrada!$A$3:$G$505,""select E where B = '""&amp;$A19&amp;""' and A = '""&amp;H$3&amp;""'"")),0))"),"")</f>
        <v/>
      </c>
      <c r="I19" s="83" t="str">
        <f>IFERROR(__xludf.DUMMYFUNCTION("if(isblank($A19),"""",iferror(sum(query(Entrada!$A$3:$G$505,""select E where B = '""&amp;$A19&amp;""' and A = '""&amp;I$3&amp;""'"")),0))"),"")</f>
        <v/>
      </c>
      <c r="J19" s="83" t="str">
        <f>IFERROR(__xludf.DUMMYFUNCTION("if(isblank($A19),"""",iferror(sum(query(Entrada!$A$3:$G$505,""select E where B = '""&amp;$A19&amp;""' and A = '""&amp;J$3&amp;""'"")),0))"),"")</f>
        <v/>
      </c>
      <c r="K19" s="83" t="str">
        <f>IFERROR(__xludf.DUMMYFUNCTION("if(isblank($A19),"""",iferror(sum(query(Entrada!$A$3:$G$505,""select E where B = '""&amp;$A19&amp;""' and A = '""&amp;K$3&amp;""'"")),0))"),"")</f>
        <v/>
      </c>
      <c r="L19" s="83" t="str">
        <f>IFERROR(__xludf.DUMMYFUNCTION("if(isblank($A19),"""",iferror(sum(query(Entrada!$A$3:$G$505,""select E where B = '""&amp;$A19&amp;""' and A = '""&amp;L$3&amp;""'"")),0))"),"")</f>
        <v/>
      </c>
      <c r="M19" s="83" t="str">
        <f>IFERROR(__xludf.DUMMYFUNCTION("if(isblank($A19),"""",iferror(sum(query(Entrada!$A$3:$G$505,""select E where B = '""&amp;$A19&amp;""' and A = '""&amp;M$3&amp;""'"")),0))"),"")</f>
        <v/>
      </c>
      <c r="N19" s="84" t="str">
        <f t="shared" si="1"/>
        <v/>
      </c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</row>
    <row r="20">
      <c r="A20" s="88"/>
      <c r="B20" s="83" t="str">
        <f>IFERROR(__xludf.DUMMYFUNCTION("if(isblank($A20),"""",iferror(sum(query(Entrada!$A$3:$G$505,""select E where B = '""&amp;$A20&amp;""' and A = '""&amp;B$3&amp;""'"")),0))"),"")</f>
        <v/>
      </c>
      <c r="C20" s="83" t="str">
        <f>IFERROR(__xludf.DUMMYFUNCTION("if(isblank($A20),"""",iferror(sum(query(Entrada!$A$3:$G$505,""select E where B = '""&amp;$A20&amp;""' and A = '""&amp;C$3&amp;""'"")),0))"),"")</f>
        <v/>
      </c>
      <c r="D20" s="83" t="str">
        <f>IFERROR(__xludf.DUMMYFUNCTION("if(isblank($A20),"""",iferror(sum(query(Entrada!$A$3:$G$505,""select E where B = '""&amp;$A20&amp;""' and A = '""&amp;D$3&amp;""'"")),0))"),"")</f>
        <v/>
      </c>
      <c r="E20" s="83" t="str">
        <f>IFERROR(__xludf.DUMMYFUNCTION("if(isblank($A20),"""",iferror(sum(query(Entrada!$A$3:$G$505,""select E where B = '""&amp;$A20&amp;""' and A = '""&amp;E$3&amp;""'"")),0))"),"")</f>
        <v/>
      </c>
      <c r="F20" s="83" t="str">
        <f>IFERROR(__xludf.DUMMYFUNCTION("if(isblank($A20),"""",iferror(sum(query(Entrada!$A$3:$G$505,""select E where B = '""&amp;$A20&amp;""' and A = '""&amp;F$3&amp;""'"")),0))"),"")</f>
        <v/>
      </c>
      <c r="G20" s="83" t="str">
        <f>IFERROR(__xludf.DUMMYFUNCTION("if(isblank($A20),"""",iferror(sum(query(Entrada!$A$3:$G$505,""select E where B = '""&amp;$A20&amp;""' and A = '""&amp;G$3&amp;""'"")),0))"),"")</f>
        <v/>
      </c>
      <c r="H20" s="83" t="str">
        <f>IFERROR(__xludf.DUMMYFUNCTION("if(isblank($A20),"""",iferror(sum(query(Entrada!$A$3:$G$505,""select E where B = '""&amp;$A20&amp;""' and A = '""&amp;H$3&amp;""'"")),0))"),"")</f>
        <v/>
      </c>
      <c r="I20" s="83" t="str">
        <f>IFERROR(__xludf.DUMMYFUNCTION("if(isblank($A20),"""",iferror(sum(query(Entrada!$A$3:$G$505,""select E where B = '""&amp;$A20&amp;""' and A = '""&amp;I$3&amp;""'"")),0))"),"")</f>
        <v/>
      </c>
      <c r="J20" s="83" t="str">
        <f>IFERROR(__xludf.DUMMYFUNCTION("if(isblank($A20),"""",iferror(sum(query(Entrada!$A$3:$G$505,""select E where B = '""&amp;$A20&amp;""' and A = '""&amp;J$3&amp;""'"")),0))"),"")</f>
        <v/>
      </c>
      <c r="K20" s="83" t="str">
        <f>IFERROR(__xludf.DUMMYFUNCTION("if(isblank($A20),"""",iferror(sum(query(Entrada!$A$3:$G$505,""select E where B = '""&amp;$A20&amp;""' and A = '""&amp;K$3&amp;""'"")),0))"),"")</f>
        <v/>
      </c>
      <c r="L20" s="83" t="str">
        <f>IFERROR(__xludf.DUMMYFUNCTION("if(isblank($A20),"""",iferror(sum(query(Entrada!$A$3:$G$505,""select E where B = '""&amp;$A20&amp;""' and A = '""&amp;L$3&amp;""'"")),0))"),"")</f>
        <v/>
      </c>
      <c r="M20" s="83" t="str">
        <f>IFERROR(__xludf.DUMMYFUNCTION("if(isblank($A20),"""",iferror(sum(query(Entrada!$A$3:$G$505,""select E where B = '""&amp;$A20&amp;""' and A = '""&amp;M$3&amp;""'"")),0))"),"")</f>
        <v/>
      </c>
      <c r="N20" s="84" t="str">
        <f t="shared" si="1"/>
        <v/>
      </c>
    </row>
    <row r="21">
      <c r="A21" s="89" t="s">
        <v>69</v>
      </c>
      <c r="B21" s="90">
        <f t="shared" ref="B21:N21" si="2">sum(B4:B20)</f>
        <v>2666.31</v>
      </c>
      <c r="C21" s="90">
        <f t="shared" si="2"/>
        <v>1335.04</v>
      </c>
      <c r="D21" s="90">
        <f t="shared" si="2"/>
        <v>2405.11</v>
      </c>
      <c r="E21" s="90">
        <f t="shared" si="2"/>
        <v>1789.1</v>
      </c>
      <c r="F21" s="90">
        <f t="shared" si="2"/>
        <v>2131.27</v>
      </c>
      <c r="G21" s="90">
        <f t="shared" si="2"/>
        <v>2110.21</v>
      </c>
      <c r="H21" s="90">
        <f t="shared" si="2"/>
        <v>2160.16</v>
      </c>
      <c r="I21" s="90">
        <f t="shared" si="2"/>
        <v>1675.79</v>
      </c>
      <c r="J21" s="90">
        <f t="shared" si="2"/>
        <v>1406.3</v>
      </c>
      <c r="K21" s="90">
        <f t="shared" si="2"/>
        <v>1583.22</v>
      </c>
      <c r="L21" s="90">
        <f t="shared" si="2"/>
        <v>1034.4</v>
      </c>
      <c r="M21" s="90">
        <f t="shared" si="2"/>
        <v>5387.86</v>
      </c>
      <c r="N21" s="90">
        <f t="shared" si="2"/>
        <v>25684.77</v>
      </c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</row>
    <row r="22">
      <c r="A22" s="91"/>
      <c r="B22" s="77"/>
      <c r="C22" s="77"/>
      <c r="D22" s="87"/>
      <c r="E22" s="92"/>
      <c r="F22" s="92"/>
      <c r="G22" s="92"/>
      <c r="H22" s="92"/>
      <c r="I22" s="92"/>
      <c r="J22" s="92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</row>
    <row r="23">
      <c r="A23" s="76" t="s">
        <v>70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</row>
    <row r="24">
      <c r="A24" s="93"/>
      <c r="B24" s="94" t="s">
        <v>57</v>
      </c>
      <c r="C24" s="94" t="s">
        <v>58</v>
      </c>
      <c r="D24" s="94" t="s">
        <v>59</v>
      </c>
      <c r="E24" s="94" t="s">
        <v>60</v>
      </c>
      <c r="F24" s="94" t="s">
        <v>61</v>
      </c>
      <c r="G24" s="94" t="s">
        <v>62</v>
      </c>
      <c r="H24" s="94" t="s">
        <v>63</v>
      </c>
      <c r="I24" s="94" t="s">
        <v>64</v>
      </c>
      <c r="J24" s="94" t="s">
        <v>65</v>
      </c>
      <c r="K24" s="94" t="s">
        <v>66</v>
      </c>
      <c r="L24" s="94" t="s">
        <v>67</v>
      </c>
      <c r="M24" s="94" t="s">
        <v>68</v>
      </c>
      <c r="N24" s="95" t="s">
        <v>69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</row>
    <row r="25">
      <c r="A25" s="96" t="str">
        <f>IFERROR(__xludf.DUMMYFUNCTION("unique(QUERY(Tabelas!B13:B52,""select B where B is not null""))"),"Alimentação")</f>
        <v>Alimentação</v>
      </c>
      <c r="B25" s="97">
        <f>IFERROR(__xludf.DUMMYFUNCTION("if(isblank($A25),"""",iferror(sum(query('Saída'!$A$3:$G$505,""select E where B = '""&amp;$A25&amp;""' and A = '""&amp;B$24&amp;""'"")),0)+iferror(sum(query('Saída'!$J$3:$R$505,""select O where L = '""&amp;$A25&amp;""' and J = '""&amp;B$24&amp;""'"")),0))"),241.4)</f>
        <v>241.4</v>
      </c>
      <c r="C25" s="98">
        <f>IFERROR(__xludf.DUMMYFUNCTION("if(isblank($A25),"""",iferror(sum(query('Saída'!$A$3:$G$505,""select E where B = '""&amp;$A25&amp;""' and A = '""&amp;C$24&amp;""'"")),0)+iferror(sum(query('Saída'!$J$3:$R$505,""select O where L = '""&amp;$A25&amp;""' and J = '""&amp;C$24&amp;""'"")),0))"),188.8)</f>
        <v>188.8</v>
      </c>
      <c r="D25" s="98">
        <f>IFERROR(__xludf.DUMMYFUNCTION("if(isblank($A25),"""",iferror(sum(query('Saída'!$A$3:$G$505,""select E where B = '""&amp;$A25&amp;""' and A = '""&amp;D$24&amp;""'"")),0)+iferror(sum(query('Saída'!$J$3:$R$505,""select O where L = '""&amp;$A25&amp;""' and J = '""&amp;D$24&amp;""'"")),0))"),205.06)</f>
        <v>205.06</v>
      </c>
      <c r="E25" s="98">
        <f>IFERROR(__xludf.DUMMYFUNCTION("if(isblank($A25),"""",iferror(sum(query('Saída'!$A$3:$G$505,""select E where B = '""&amp;$A25&amp;""' and A = '""&amp;E$24&amp;""'"")),0)+iferror(sum(query('Saída'!$J$3:$R$505,""select O where L = '""&amp;$A25&amp;""' and J = '""&amp;E$24&amp;""'"")),0))"),116.0)</f>
        <v>116</v>
      </c>
      <c r="F25" s="98">
        <f>IFERROR(__xludf.DUMMYFUNCTION("if(isblank($A25),"""",iferror(sum(query('Saída'!$A$3:$G$505,""select E where B = '""&amp;$A25&amp;""' and A = '""&amp;F$24&amp;""'"")),0)+iferror(sum(query('Saída'!$J$3:$R$505,""select O where L = '""&amp;$A25&amp;""' and J = '""&amp;F$24&amp;""'"")),0))"),49.4)</f>
        <v>49.4</v>
      </c>
      <c r="G25" s="98">
        <f>IFERROR(__xludf.DUMMYFUNCTION("if(isblank($A25),"""",iferror(sum(query('Saída'!$A$3:$G$505,""select E where B = '""&amp;$A25&amp;""' and A = '""&amp;G$24&amp;""'"")),0)+iferror(sum(query('Saída'!$J$3:$R$505,""select O where L = '""&amp;$A25&amp;""' and J = '""&amp;G$24&amp;""'"")),0))"),251.45999999999998)</f>
        <v>251.46</v>
      </c>
      <c r="H25" s="98">
        <f>IFERROR(__xludf.DUMMYFUNCTION("if(isblank($A25),"""",iferror(sum(query('Saída'!$A$3:$G$505,""select E where B = '""&amp;$A25&amp;""' and A = '""&amp;H$24&amp;""'"")),0)+iferror(sum(query('Saída'!$J$3:$R$505,""select O where L = '""&amp;$A25&amp;""' and J = '""&amp;H$24&amp;""'"")),0))"),351.03)</f>
        <v>351.03</v>
      </c>
      <c r="I25" s="98">
        <f>IFERROR(__xludf.DUMMYFUNCTION("if(isblank($A25),"""",iferror(sum(query('Saída'!$A$3:$G$505,""select E where B = '""&amp;$A25&amp;""' and A = '""&amp;I$24&amp;""'"")),0)+iferror(sum(query('Saída'!$J$3:$R$505,""select O where L = '""&amp;$A25&amp;""' and J = '""&amp;I$24&amp;""'"")),0))"),201.5)</f>
        <v>201.5</v>
      </c>
      <c r="J25" s="98">
        <f>IFERROR(__xludf.DUMMYFUNCTION("if(isblank($A25),"""",iferror(sum(query('Saída'!$A$3:$G$505,""select E where B = '""&amp;$A25&amp;""' and A = '""&amp;J$24&amp;""'"")),0)+iferror(sum(query('Saída'!$J$3:$R$505,""select O where L = '""&amp;$A25&amp;""' and J = '""&amp;J$24&amp;""'"")),0))"),100.4)</f>
        <v>100.4</v>
      </c>
      <c r="K25" s="98">
        <f>IFERROR(__xludf.DUMMYFUNCTION("if(isblank($A25),"""",iferror(sum(query('Saída'!$A$3:$G$505,""select E where B = '""&amp;$A25&amp;""' and A = '""&amp;K$24&amp;""'"")),0)+iferror(sum(query('Saída'!$J$3:$R$505,""select O where L = '""&amp;$A25&amp;""' and J = '""&amp;K$24&amp;""'"")),0))"),186.99)</f>
        <v>186.99</v>
      </c>
      <c r="L25" s="98">
        <f>IFERROR(__xludf.DUMMYFUNCTION("if(isblank($A25),"""",iferror(sum(query('Saída'!$A$3:$G$505,""select E where B = '""&amp;$A25&amp;""' and A = '""&amp;L$24&amp;""'"")),0)+iferror(sum(query('Saída'!$J$3:$R$505,""select O where L = '""&amp;$A25&amp;""' and J = '""&amp;L$24&amp;""'"")),0))"),433.82)</f>
        <v>433.82</v>
      </c>
      <c r="M25" s="98">
        <f>IFERROR(__xludf.DUMMYFUNCTION("if(isblank($A25),"""",iferror(sum(query('Saída'!$A$3:$G$505,""select E where B = '""&amp;$A25&amp;""' and A = '""&amp;M$24&amp;""'"")),0)+iferror(sum(query('Saída'!$J$3:$R$505,""select O where L = '""&amp;$A25&amp;""' and J = '""&amp;M$24&amp;""'"")),0))"),167.23)</f>
        <v>167.23</v>
      </c>
      <c r="N25" s="84">
        <f t="shared" ref="N25:N37" si="3">if(isblank($A25),"",sum(B25:M25))</f>
        <v>2493.09</v>
      </c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</row>
    <row r="26">
      <c r="A26" s="96" t="str">
        <f>IFERROR(__xludf.DUMMYFUNCTION("""COMPUTED_VALUE"""),"Habitação")</f>
        <v>Habitação</v>
      </c>
      <c r="B26" s="99">
        <f>IFERROR(__xludf.DUMMYFUNCTION("if(isblank($A26),"""",iferror(sum(query('Saída'!$A$3:$G$505,""select E where B = '""&amp;$A26&amp;""' and A = '""&amp;B$24&amp;""'"")),0)+iferror(sum(query('Saída'!$J$3:$R$505,""select O where L = '""&amp;$A26&amp;""' and J = '""&amp;B$24&amp;""'"")),0))"),467.5)</f>
        <v>467.5</v>
      </c>
      <c r="C26" s="83">
        <f>IFERROR(__xludf.DUMMYFUNCTION("if(isblank($A26),"""",iferror(sum(query('Saída'!$A$3:$G$505,""select E where B = '""&amp;$A26&amp;""' and A = '""&amp;C$24&amp;""'"")),0)+iferror(sum(query('Saída'!$J$3:$R$505,""select O where L = '""&amp;$A26&amp;""' and J = '""&amp;C$24&amp;""'"")),0))"),203.29000000000002)</f>
        <v>203.29</v>
      </c>
      <c r="D26" s="83">
        <f>IFERROR(__xludf.DUMMYFUNCTION("if(isblank($A26),"""",iferror(sum(query('Saída'!$A$3:$G$505,""select E where B = '""&amp;$A26&amp;""' and A = '""&amp;D$24&amp;""'"")),0)+iferror(sum(query('Saída'!$J$3:$R$505,""select O where L = '""&amp;$A26&amp;""' and J = '""&amp;D$24&amp;""'"")),0))"),441.89)</f>
        <v>441.89</v>
      </c>
      <c r="E26" s="83">
        <f>IFERROR(__xludf.DUMMYFUNCTION("if(isblank($A26),"""",iferror(sum(query('Saída'!$A$3:$G$505,""select E where B = '""&amp;$A26&amp;""' and A = '""&amp;E$24&amp;""'"")),0)+iferror(sum(query('Saída'!$J$3:$R$505,""select O where L = '""&amp;$A26&amp;""' and J = '""&amp;E$24&amp;""'"")),0))"),279.99)</f>
        <v>279.99</v>
      </c>
      <c r="F26" s="83">
        <f>IFERROR(__xludf.DUMMYFUNCTION("if(isblank($A26),"""",iferror(sum(query('Saída'!$A$3:$G$505,""select E where B = '""&amp;$A26&amp;""' and A = '""&amp;F$24&amp;""'"")),0)+iferror(sum(query('Saída'!$J$3:$R$505,""select O where L = '""&amp;$A26&amp;""' and J = '""&amp;F$24&amp;""'"")),0))"),279.99)</f>
        <v>279.99</v>
      </c>
      <c r="G26" s="83">
        <f>IFERROR(__xludf.DUMMYFUNCTION("if(isblank($A26),"""",iferror(sum(query('Saída'!$A$3:$G$505,""select E where B = '""&amp;$A26&amp;""' and A = '""&amp;G$24&amp;""'"")),0)+iferror(sum(query('Saída'!$J$3:$R$505,""select O where L = '""&amp;$A26&amp;""' and J = '""&amp;G$24&amp;""'"")),0))"),0.0)</f>
        <v>0</v>
      </c>
      <c r="H26" s="83">
        <f>IFERROR(__xludf.DUMMYFUNCTION("if(isblank($A26),"""",iferror(sum(query('Saída'!$A$3:$G$505,""select E where B = '""&amp;$A26&amp;""' and A = '""&amp;H$24&amp;""'"")),0)+iferror(sum(query('Saída'!$J$3:$R$505,""select O where L = '""&amp;$A26&amp;""' and J = '""&amp;H$24&amp;""'"")),0))"),279.99)</f>
        <v>279.99</v>
      </c>
      <c r="I26" s="83">
        <f>IFERROR(__xludf.DUMMYFUNCTION("if(isblank($A26),"""",iferror(sum(query('Saída'!$A$3:$G$505,""select E where B = '""&amp;$A26&amp;""' and A = '""&amp;I$24&amp;""'"")),0)+iferror(sum(query('Saída'!$J$3:$R$505,""select O where L = '""&amp;$A26&amp;""' and J = '""&amp;I$24&amp;""'"")),0))"),279.99)</f>
        <v>279.99</v>
      </c>
      <c r="J26" s="83">
        <f>IFERROR(__xludf.DUMMYFUNCTION("if(isblank($A26),"""",iferror(sum(query('Saída'!$A$3:$G$505,""select E where B = '""&amp;$A26&amp;""' and A = '""&amp;J$24&amp;""'"")),0)+iferror(sum(query('Saída'!$J$3:$R$505,""select O where L = '""&amp;$A26&amp;""' and J = '""&amp;J$24&amp;""'"")),0))"),279.99)</f>
        <v>279.99</v>
      </c>
      <c r="K26" s="83">
        <f>IFERROR(__xludf.DUMMYFUNCTION("if(isblank($A26),"""",iferror(sum(query('Saída'!$A$3:$G$505,""select E where B = '""&amp;$A26&amp;""' and A = '""&amp;K$24&amp;""'"")),0)+iferror(sum(query('Saída'!$J$3:$R$505,""select O where L = '""&amp;$A26&amp;""' and J = '""&amp;K$24&amp;""'"")),0))"),281.76)</f>
        <v>281.76</v>
      </c>
      <c r="L26" s="83">
        <f>IFERROR(__xludf.DUMMYFUNCTION("if(isblank($A26),"""",iferror(sum(query('Saída'!$A$3:$G$505,""select E where B = '""&amp;$A26&amp;""' and A = '""&amp;L$24&amp;""'"")),0)+iferror(sum(query('Saída'!$J$3:$R$505,""select O where L = '""&amp;$A26&amp;""' and J = '""&amp;L$24&amp;""'"")),0))"),0.0)</f>
        <v>0</v>
      </c>
      <c r="M26" s="83">
        <f>IFERROR(__xludf.DUMMYFUNCTION("if(isblank($A26),"""",iferror(sum(query('Saída'!$A$3:$G$505,""select E where B = '""&amp;$A26&amp;""' and A = '""&amp;M$24&amp;""'"")),0)+iferror(sum(query('Saída'!$J$3:$R$505,""select O where L = '""&amp;$A26&amp;""' and J = '""&amp;M$24&amp;""'"")),0))"),281.76)</f>
        <v>281.76</v>
      </c>
      <c r="N26" s="84">
        <f t="shared" si="3"/>
        <v>3076.15</v>
      </c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</row>
    <row r="27">
      <c r="A27" s="96" t="str">
        <f>IFERROR(__xludf.DUMMYFUNCTION("""COMPUTED_VALUE"""),"Lazer")</f>
        <v>Lazer</v>
      </c>
      <c r="B27" s="99">
        <f>IFERROR(__xludf.DUMMYFUNCTION("if(isblank($A27),"""",iferror(sum(query('Saída'!$A$3:$G$505,""select E where B = '""&amp;$A27&amp;""' and A = '""&amp;B$24&amp;""'"")),0)+iferror(sum(query('Saída'!$J$3:$R$505,""select O where L = '""&amp;$A27&amp;""' and J = '""&amp;B$24&amp;""'"")),0))"),0.0)</f>
        <v>0</v>
      </c>
      <c r="C27" s="83">
        <f>IFERROR(__xludf.DUMMYFUNCTION("if(isblank($A27),"""",iferror(sum(query('Saída'!$A$3:$G$505,""select E where B = '""&amp;$A27&amp;""' and A = '""&amp;C$24&amp;""'"")),0)+iferror(sum(query('Saída'!$J$3:$R$505,""select O where L = '""&amp;$A27&amp;""' and J = '""&amp;C$24&amp;""'"")),0))"),2.3)</f>
        <v>2.3</v>
      </c>
      <c r="D27" s="83">
        <f>IFERROR(__xludf.DUMMYFUNCTION("if(isblank($A27),"""",iferror(sum(query('Saída'!$A$3:$G$505,""select E where B = '""&amp;$A27&amp;""' and A = '""&amp;D$24&amp;""'"")),0)+iferror(sum(query('Saída'!$J$3:$R$505,""select O where L = '""&amp;$A27&amp;""' and J = '""&amp;D$24&amp;""'"")),0))"),19.61)</f>
        <v>19.61</v>
      </c>
      <c r="E27" s="83">
        <f>IFERROR(__xludf.DUMMYFUNCTION("if(isblank($A27),"""",iferror(sum(query('Saída'!$A$3:$G$505,""select E where B = '""&amp;$A27&amp;""' and A = '""&amp;E$24&amp;""'"")),0)+iferror(sum(query('Saída'!$J$3:$R$505,""select O where L = '""&amp;$A27&amp;""' and J = '""&amp;E$24&amp;""'"")),0))"),0.0)</f>
        <v>0</v>
      </c>
      <c r="F27" s="83">
        <f>IFERROR(__xludf.DUMMYFUNCTION("if(isblank($A27),"""",iferror(sum(query('Saída'!$A$3:$G$505,""select E where B = '""&amp;$A27&amp;""' and A = '""&amp;F$24&amp;""'"")),0)+iferror(sum(query('Saída'!$J$3:$R$505,""select O where L = '""&amp;$A27&amp;""' and J = '""&amp;F$24&amp;""'"")),0))"),0.0)</f>
        <v>0</v>
      </c>
      <c r="G27" s="83">
        <f>IFERROR(__xludf.DUMMYFUNCTION("if(isblank($A27),"""",iferror(sum(query('Saída'!$A$3:$G$505,""select E where B = '""&amp;$A27&amp;""' and A = '""&amp;G$24&amp;""'"")),0)+iferror(sum(query('Saída'!$J$3:$R$505,""select O where L = '""&amp;$A27&amp;""' and J = '""&amp;G$24&amp;""'"")),0))"),0.0)</f>
        <v>0</v>
      </c>
      <c r="H27" s="83">
        <f>IFERROR(__xludf.DUMMYFUNCTION("if(isblank($A27),"""",iferror(sum(query('Saída'!$A$3:$G$505,""select E where B = '""&amp;$A27&amp;""' and A = '""&amp;H$24&amp;""'"")),0)+iferror(sum(query('Saída'!$J$3:$R$505,""select O where L = '""&amp;$A27&amp;""' and J = '""&amp;H$24&amp;""'"")),0))"),125.13)</f>
        <v>125.13</v>
      </c>
      <c r="I27" s="83">
        <f>IFERROR(__xludf.DUMMYFUNCTION("if(isblank($A27),"""",iferror(sum(query('Saída'!$A$3:$G$505,""select E where B = '""&amp;$A27&amp;""' and A = '""&amp;I$24&amp;""'"")),0)+iferror(sum(query('Saída'!$J$3:$R$505,""select O where L = '""&amp;$A27&amp;""' and J = '""&amp;I$24&amp;""'"")),0))"),0.0)</f>
        <v>0</v>
      </c>
      <c r="J27" s="83">
        <f>IFERROR(__xludf.DUMMYFUNCTION("if(isblank($A27),"""",iferror(sum(query('Saída'!$A$3:$G$505,""select E where B = '""&amp;$A27&amp;""' and A = '""&amp;J$24&amp;""'"")),0)+iferror(sum(query('Saída'!$J$3:$R$505,""select O where L = '""&amp;$A27&amp;""' and J = '""&amp;J$24&amp;""'"")),0))"),512.4599999999999)</f>
        <v>512.46</v>
      </c>
      <c r="K27" s="83">
        <f>IFERROR(__xludf.DUMMYFUNCTION("if(isblank($A27),"""",iferror(sum(query('Saída'!$A$3:$G$505,""select E where B = '""&amp;$A27&amp;""' and A = '""&amp;K$24&amp;""'"")),0)+iferror(sum(query('Saída'!$J$3:$R$505,""select O where L = '""&amp;$A27&amp;""' and J = '""&amp;K$24&amp;""'"")),0))"),231.58)</f>
        <v>231.58</v>
      </c>
      <c r="L27" s="83">
        <f>IFERROR(__xludf.DUMMYFUNCTION("if(isblank($A27),"""",iferror(sum(query('Saída'!$A$3:$G$505,""select E where B = '""&amp;$A27&amp;""' and A = '""&amp;L$24&amp;""'"")),0)+iferror(sum(query('Saída'!$J$3:$R$505,""select O where L = '""&amp;$A27&amp;""' and J = '""&amp;L$24&amp;""'"")),0))"),154.0)</f>
        <v>154</v>
      </c>
      <c r="M27" s="83">
        <f>IFERROR(__xludf.DUMMYFUNCTION("if(isblank($A27),"""",iferror(sum(query('Saída'!$A$3:$G$505,""select E where B = '""&amp;$A27&amp;""' and A = '""&amp;M$24&amp;""'"")),0)+iferror(sum(query('Saída'!$J$3:$R$505,""select O where L = '""&amp;$A27&amp;""' and J = '""&amp;M$24&amp;""'"")),0))"),138.5)</f>
        <v>138.5</v>
      </c>
      <c r="N27" s="84">
        <f t="shared" si="3"/>
        <v>1183.58</v>
      </c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</row>
    <row r="28">
      <c r="A28" s="96" t="str">
        <f>IFERROR(__xludf.DUMMYFUNCTION("""COMPUTED_VALUE"""),"Transporte")</f>
        <v>Transporte</v>
      </c>
      <c r="B28" s="99">
        <f>IFERROR(__xludf.DUMMYFUNCTION("if(isblank($A28),"""",iferror(sum(query('Saída'!$A$3:$G$505,""select E where B = '""&amp;$A28&amp;""' and A = '""&amp;B$24&amp;""'"")),0)+iferror(sum(query('Saída'!$J$3:$R$505,""select O where L = '""&amp;$A28&amp;""' and J = '""&amp;B$24&amp;""'"")),0))"),70.0)</f>
        <v>70</v>
      </c>
      <c r="C28" s="83">
        <f>IFERROR(__xludf.DUMMYFUNCTION("if(isblank($A28),"""",iferror(sum(query('Saída'!$A$3:$G$505,""select E where B = '""&amp;$A28&amp;""' and A = '""&amp;C$24&amp;""'"")),0)+iferror(sum(query('Saída'!$J$3:$R$505,""select O where L = '""&amp;$A28&amp;""' and J = '""&amp;C$24&amp;""'"")),0))"),225.3)</f>
        <v>225.3</v>
      </c>
      <c r="D28" s="83">
        <f>IFERROR(__xludf.DUMMYFUNCTION("if(isblank($A28),"""",iferror(sum(query('Saída'!$A$3:$G$505,""select E where B = '""&amp;$A28&amp;""' and A = '""&amp;D$24&amp;""'"")),0)+iferror(sum(query('Saída'!$J$3:$R$505,""select O where L = '""&amp;$A28&amp;""' and J = '""&amp;D$24&amp;""'"")),0))"),0.0)</f>
        <v>0</v>
      </c>
      <c r="E28" s="83">
        <f>IFERROR(__xludf.DUMMYFUNCTION("if(isblank($A28),"""",iferror(sum(query('Saída'!$A$3:$G$505,""select E where B = '""&amp;$A28&amp;""' and A = '""&amp;E$24&amp;""'"")),0)+iferror(sum(query('Saída'!$J$3:$R$505,""select O where L = '""&amp;$A28&amp;""' and J = '""&amp;E$24&amp;""'"")),0))"),0.0)</f>
        <v>0</v>
      </c>
      <c r="F28" s="83">
        <f>IFERROR(__xludf.DUMMYFUNCTION("if(isblank($A28),"""",iferror(sum(query('Saída'!$A$3:$G$505,""select E where B = '""&amp;$A28&amp;""' and A = '""&amp;F$24&amp;""'"")),0)+iferror(sum(query('Saída'!$J$3:$R$505,""select O where L = '""&amp;$A28&amp;""' and J = '""&amp;F$24&amp;""'"")),0))"),0.0)</f>
        <v>0</v>
      </c>
      <c r="G28" s="83">
        <f>IFERROR(__xludf.DUMMYFUNCTION("if(isblank($A28),"""",iferror(sum(query('Saída'!$A$3:$G$505,""select E where B = '""&amp;$A28&amp;""' and A = '""&amp;G$24&amp;""'"")),0)+iferror(sum(query('Saída'!$J$3:$R$505,""select O where L = '""&amp;$A28&amp;""' and J = '""&amp;G$24&amp;""'"")),0))"),30.46)</f>
        <v>30.46</v>
      </c>
      <c r="H28" s="83">
        <f>IFERROR(__xludf.DUMMYFUNCTION("if(isblank($A28),"""",iferror(sum(query('Saída'!$A$3:$G$505,""select E where B = '""&amp;$A28&amp;""' and A = '""&amp;H$24&amp;""'"")),0)+iferror(sum(query('Saída'!$J$3:$R$505,""select O where L = '""&amp;$A28&amp;""' and J = '""&amp;H$24&amp;""'"")),0))"),20.990000000000002)</f>
        <v>20.99</v>
      </c>
      <c r="I28" s="83">
        <f>IFERROR(__xludf.DUMMYFUNCTION("if(isblank($A28),"""",iferror(sum(query('Saída'!$A$3:$G$505,""select E where B = '""&amp;$A28&amp;""' and A = '""&amp;I$24&amp;""'"")),0)+iferror(sum(query('Saída'!$J$3:$R$505,""select O where L = '""&amp;$A28&amp;""' and J = '""&amp;I$24&amp;""'"")),0))"),233.0)</f>
        <v>233</v>
      </c>
      <c r="J28" s="83">
        <f>IFERROR(__xludf.DUMMYFUNCTION("if(isblank($A28),"""",iferror(sum(query('Saída'!$A$3:$G$505,""select E where B = '""&amp;$A28&amp;""' and A = '""&amp;J$24&amp;""'"")),0)+iferror(sum(query('Saída'!$J$3:$R$505,""select O where L = '""&amp;$A28&amp;""' and J = '""&amp;J$24&amp;""'"")),0))"),162.85)</f>
        <v>162.85</v>
      </c>
      <c r="K28" s="83">
        <f>IFERROR(__xludf.DUMMYFUNCTION("if(isblank($A28),"""",iferror(sum(query('Saída'!$A$3:$G$505,""select E where B = '""&amp;$A28&amp;""' and A = '""&amp;K$24&amp;""'"")),0)+iferror(sum(query('Saída'!$J$3:$R$505,""select O where L = '""&amp;$A28&amp;""' and J = '""&amp;K$24&amp;""'"")),0))"),262.95)</f>
        <v>262.95</v>
      </c>
      <c r="L28" s="83">
        <f>IFERROR(__xludf.DUMMYFUNCTION("if(isblank($A28),"""",iferror(sum(query('Saída'!$A$3:$G$505,""select E where B = '""&amp;$A28&amp;""' and A = '""&amp;L$24&amp;""'"")),0)+iferror(sum(query('Saída'!$J$3:$R$505,""select O where L = '""&amp;$A28&amp;""' and J = '""&amp;L$24&amp;""'"")),0))"),533.65)</f>
        <v>533.65</v>
      </c>
      <c r="M28" s="83">
        <f>IFERROR(__xludf.DUMMYFUNCTION("if(isblank($A28),"""",iferror(sum(query('Saída'!$A$3:$G$505,""select E where B = '""&amp;$A28&amp;""' and A = '""&amp;M$24&amp;""'"")),0)+iferror(sum(query('Saída'!$J$3:$R$505,""select O where L = '""&amp;$A28&amp;""' and J = '""&amp;M$24&amp;""'"")),0))"),386.49)</f>
        <v>386.49</v>
      </c>
      <c r="N28" s="84">
        <f t="shared" si="3"/>
        <v>1925.69</v>
      </c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</row>
    <row r="29">
      <c r="A29" s="96" t="str">
        <f>IFERROR(__xludf.DUMMYFUNCTION("""COMPUTED_VALUE"""),"Extra")</f>
        <v>Extra</v>
      </c>
      <c r="B29" s="99">
        <f>IFERROR(__xludf.DUMMYFUNCTION("if(isblank($A29),"""",iferror(sum(query('Saída'!$A$3:$G$505,""select E where B = '""&amp;$A29&amp;""' and A = '""&amp;B$24&amp;""'"")),0)+iferror(sum(query('Saída'!$J$3:$R$505,""select O where L = '""&amp;$A29&amp;""' and J = '""&amp;B$24&amp;""'"")),0))"),5.0)</f>
        <v>5</v>
      </c>
      <c r="C29" s="83">
        <f>IFERROR(__xludf.DUMMYFUNCTION("if(isblank($A29),"""",iferror(sum(query('Saída'!$A$3:$G$505,""select E where B = '""&amp;$A29&amp;""' and A = '""&amp;C$24&amp;""'"")),0)+iferror(sum(query('Saída'!$J$3:$R$505,""select O where L = '""&amp;$A29&amp;""' and J = '""&amp;C$24&amp;""'"")),0))"),0.0)</f>
        <v>0</v>
      </c>
      <c r="D29" s="83">
        <f>IFERROR(__xludf.DUMMYFUNCTION("if(isblank($A29),"""",iferror(sum(query('Saída'!$A$3:$G$505,""select E where B = '""&amp;$A29&amp;""' and A = '""&amp;D$24&amp;""'"")),0)+iferror(sum(query('Saída'!$J$3:$R$505,""select O where L = '""&amp;$A29&amp;""' and J = '""&amp;D$24&amp;""'"")),0))"),0.0)</f>
        <v>0</v>
      </c>
      <c r="E29" s="83">
        <f>IFERROR(__xludf.DUMMYFUNCTION("if(isblank($A29),"""",iferror(sum(query('Saída'!$A$3:$G$505,""select E where B = '""&amp;$A29&amp;""' and A = '""&amp;E$24&amp;""'"")),0)+iferror(sum(query('Saída'!$J$3:$R$505,""select O where L = '""&amp;$A29&amp;""' and J = '""&amp;E$24&amp;""'"")),0))"),0.0)</f>
        <v>0</v>
      </c>
      <c r="F29" s="83">
        <f>IFERROR(__xludf.DUMMYFUNCTION("if(isblank($A29),"""",iferror(sum(query('Saída'!$A$3:$G$505,""select E where B = '""&amp;$A29&amp;""' and A = '""&amp;F$24&amp;""'"")),0)+iferror(sum(query('Saída'!$J$3:$R$505,""select O where L = '""&amp;$A29&amp;""' and J = '""&amp;F$24&amp;""'"")),0))"),0.0)</f>
        <v>0</v>
      </c>
      <c r="G29" s="83">
        <f>IFERROR(__xludf.DUMMYFUNCTION("if(isblank($A29),"""",iferror(sum(query('Saída'!$A$3:$G$505,""select E where B = '""&amp;$A29&amp;""' and A = '""&amp;G$24&amp;""'"")),0)+iferror(sum(query('Saída'!$J$3:$R$505,""select O where L = '""&amp;$A29&amp;""' and J = '""&amp;G$24&amp;""'"")),0))"),0.0)</f>
        <v>0</v>
      </c>
      <c r="H29" s="83">
        <f>IFERROR(__xludf.DUMMYFUNCTION("if(isblank($A29),"""",iferror(sum(query('Saída'!$A$3:$G$505,""select E where B = '""&amp;$A29&amp;""' and A = '""&amp;H$24&amp;""'"")),0)+iferror(sum(query('Saída'!$J$3:$R$505,""select O where L = '""&amp;$A29&amp;""' and J = '""&amp;H$24&amp;""'"")),0))"),214.0)</f>
        <v>214</v>
      </c>
      <c r="I29" s="83">
        <f>IFERROR(__xludf.DUMMYFUNCTION("if(isblank($A29),"""",iferror(sum(query('Saída'!$A$3:$G$505,""select E where B = '""&amp;$A29&amp;""' and A = '""&amp;I$24&amp;""'"")),0)+iferror(sum(query('Saída'!$J$3:$R$505,""select O where L = '""&amp;$A29&amp;""' and J = '""&amp;I$24&amp;""'"")),0))"),2.0)</f>
        <v>2</v>
      </c>
      <c r="J29" s="83">
        <f>IFERROR(__xludf.DUMMYFUNCTION("if(isblank($A29),"""",iferror(sum(query('Saída'!$A$3:$G$505,""select E where B = '""&amp;$A29&amp;""' and A = '""&amp;J$24&amp;""'"")),0)+iferror(sum(query('Saída'!$J$3:$R$505,""select O where L = '""&amp;$A29&amp;""' and J = '""&amp;J$24&amp;""'"")),0))"),0.0)</f>
        <v>0</v>
      </c>
      <c r="K29" s="83">
        <f>IFERROR(__xludf.DUMMYFUNCTION("if(isblank($A29),"""",iferror(sum(query('Saída'!$A$3:$G$505,""select E where B = '""&amp;$A29&amp;""' and A = '""&amp;K$24&amp;""'"")),0)+iferror(sum(query('Saída'!$J$3:$R$505,""select O where L = '""&amp;$A29&amp;""' and J = '""&amp;K$24&amp;""'"")),0))"),0.0)</f>
        <v>0</v>
      </c>
      <c r="L29" s="83">
        <f>IFERROR(__xludf.DUMMYFUNCTION("if(isblank($A29),"""",iferror(sum(query('Saída'!$A$3:$G$505,""select E where B = '""&amp;$A29&amp;""' and A = '""&amp;L$24&amp;""'"")),0)+iferror(sum(query('Saída'!$J$3:$R$505,""select O where L = '""&amp;$A29&amp;""' and J = '""&amp;L$24&amp;""'"")),0))"),2.0)</f>
        <v>2</v>
      </c>
      <c r="M29" s="83">
        <f>IFERROR(__xludf.DUMMYFUNCTION("if(isblank($A29),"""",iferror(sum(query('Saída'!$A$3:$G$505,""select E where B = '""&amp;$A29&amp;""' and A = '""&amp;M$24&amp;""'"")),0)+iferror(sum(query('Saída'!$J$3:$R$505,""select O where L = '""&amp;$A29&amp;""' and J = '""&amp;M$24&amp;""'"")),0))"),0.0)</f>
        <v>0</v>
      </c>
      <c r="N29" s="84">
        <f t="shared" si="3"/>
        <v>223</v>
      </c>
    </row>
    <row r="30">
      <c r="A30" s="96" t="str">
        <f>IFERROR(__xludf.DUMMYFUNCTION("""COMPUTED_VALUE"""),"Educação")</f>
        <v>Educação</v>
      </c>
      <c r="B30" s="99">
        <f>IFERROR(__xludf.DUMMYFUNCTION("if(isblank($A30),"""",iferror(sum(query('Saída'!$A$3:$G$505,""select E where B = '""&amp;$A30&amp;""' and A = '""&amp;B$24&amp;""'"")),0)+iferror(sum(query('Saída'!$J$3:$R$505,""select O where L = '""&amp;$A30&amp;""' and J = '""&amp;B$24&amp;""'"")),0))"),2076.65)</f>
        <v>2076.65</v>
      </c>
      <c r="C30" s="83">
        <f>IFERROR(__xludf.DUMMYFUNCTION("if(isblank($A30),"""",iferror(sum(query('Saída'!$A$3:$G$505,""select E where B = '""&amp;$A30&amp;""' and A = '""&amp;C$24&amp;""'"")),0)+iferror(sum(query('Saída'!$J$3:$R$505,""select O where L = '""&amp;$A30&amp;""' and J = '""&amp;C$24&amp;""'"")),0))"),0.0)</f>
        <v>0</v>
      </c>
      <c r="D30" s="83">
        <f>IFERROR(__xludf.DUMMYFUNCTION("if(isblank($A30),"""",iferror(sum(query('Saída'!$A$3:$G$505,""select E where B = '""&amp;$A30&amp;""' and A = '""&amp;D$24&amp;""'"")),0)+iferror(sum(query('Saída'!$J$3:$R$505,""select O where L = '""&amp;$A30&amp;""' and J = '""&amp;D$24&amp;""'"")),0))"),0.0)</f>
        <v>0</v>
      </c>
      <c r="E30" s="83">
        <f>IFERROR(__xludf.DUMMYFUNCTION("if(isblank($A30),"""",iferror(sum(query('Saída'!$A$3:$G$505,""select E where B = '""&amp;$A30&amp;""' and A = '""&amp;E$24&amp;""'"")),0)+iferror(sum(query('Saída'!$J$3:$R$505,""select O where L = '""&amp;$A30&amp;""' and J = '""&amp;E$24&amp;""'"")),0))"),0.0)</f>
        <v>0</v>
      </c>
      <c r="F30" s="83">
        <f>IFERROR(__xludf.DUMMYFUNCTION("if(isblank($A30),"""",iferror(sum(query('Saída'!$A$3:$G$505,""select E where B = '""&amp;$A30&amp;""' and A = '""&amp;F$24&amp;""'"")),0)+iferror(sum(query('Saída'!$J$3:$R$505,""select O where L = '""&amp;$A30&amp;""' and J = '""&amp;F$24&amp;""'"")),0))"),0.0)</f>
        <v>0</v>
      </c>
      <c r="G30" s="83">
        <f>IFERROR(__xludf.DUMMYFUNCTION("if(isblank($A30),"""",iferror(sum(query('Saída'!$A$3:$G$505,""select E where B = '""&amp;$A30&amp;""' and A = '""&amp;G$24&amp;""'"")),0)+iferror(sum(query('Saída'!$J$3:$R$505,""select O where L = '""&amp;$A30&amp;""' and J = '""&amp;G$24&amp;""'"")),0))"),0.0)</f>
        <v>0</v>
      </c>
      <c r="H30" s="83">
        <f>IFERROR(__xludf.DUMMYFUNCTION("if(isblank($A30),"""",iferror(sum(query('Saída'!$A$3:$G$505,""select E where B = '""&amp;$A30&amp;""' and A = '""&amp;H$24&amp;""'"")),0)+iferror(sum(query('Saída'!$J$3:$R$505,""select O where L = '""&amp;$A30&amp;""' and J = '""&amp;H$24&amp;""'"")),0))"),0.0)</f>
        <v>0</v>
      </c>
      <c r="I30" s="83">
        <f>IFERROR(__xludf.DUMMYFUNCTION("if(isblank($A30),"""",iferror(sum(query('Saída'!$A$3:$G$505,""select E where B = '""&amp;$A30&amp;""' and A = '""&amp;I$24&amp;""'"")),0)+iferror(sum(query('Saída'!$J$3:$R$505,""select O where L = '""&amp;$A30&amp;""' and J = '""&amp;I$24&amp;""'"")),0))"),0.0)</f>
        <v>0</v>
      </c>
      <c r="J30" s="83">
        <f>IFERROR(__xludf.DUMMYFUNCTION("if(isblank($A30),"""",iferror(sum(query('Saída'!$A$3:$G$505,""select E where B = '""&amp;$A30&amp;""' and A = '""&amp;J$24&amp;""'"")),0)+iferror(sum(query('Saída'!$J$3:$R$505,""select O where L = '""&amp;$A30&amp;""' and J = '""&amp;J$24&amp;""'"")),0))"),0.0)</f>
        <v>0</v>
      </c>
      <c r="K30" s="83">
        <f>IFERROR(__xludf.DUMMYFUNCTION("if(isblank($A30),"""",iferror(sum(query('Saída'!$A$3:$G$505,""select E where B = '""&amp;$A30&amp;""' and A = '""&amp;K$24&amp;""'"")),0)+iferror(sum(query('Saída'!$J$3:$R$505,""select O where L = '""&amp;$A30&amp;""' and J = '""&amp;K$24&amp;""'"")),0))"),0.0)</f>
        <v>0</v>
      </c>
      <c r="L30" s="83">
        <f>IFERROR(__xludf.DUMMYFUNCTION("if(isblank($A30),"""",iferror(sum(query('Saída'!$A$3:$G$505,""select E where B = '""&amp;$A30&amp;""' and A = '""&amp;L$24&amp;""'"")),0)+iferror(sum(query('Saída'!$J$3:$R$505,""select O where L = '""&amp;$A30&amp;""' and J = '""&amp;L$24&amp;""'"")),0))"),0.0)</f>
        <v>0</v>
      </c>
      <c r="M30" s="83">
        <f>IFERROR(__xludf.DUMMYFUNCTION("if(isblank($A30),"""",iferror(sum(query('Saída'!$A$3:$G$505,""select E where B = '""&amp;$A30&amp;""' and A = '""&amp;M$24&amp;""'"")),0)+iferror(sum(query('Saída'!$J$3:$R$505,""select O where L = '""&amp;$A30&amp;""' and J = '""&amp;M$24&amp;""'"")),0))"),0.0)</f>
        <v>0</v>
      </c>
      <c r="N30" s="84">
        <f t="shared" si="3"/>
        <v>2076.65</v>
      </c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>
      <c r="A31" s="96" t="str">
        <f>IFERROR(__xludf.DUMMYFUNCTION("""COMPUTED_VALUE"""),"Saúde")</f>
        <v>Saúde</v>
      </c>
      <c r="B31" s="99">
        <f>IFERROR(__xludf.DUMMYFUNCTION("if(isblank($A31),"""",iferror(sum(query('Saída'!$A$3:$G$505,""select E where B = '""&amp;$A31&amp;""' and A = '""&amp;B$24&amp;""'"")),0)+iferror(sum(query('Saída'!$J$3:$R$505,""select O where L = '""&amp;$A31&amp;""' and J = '""&amp;B$24&amp;""'"")),0))"),0.0)</f>
        <v>0</v>
      </c>
      <c r="C31" s="83">
        <f>IFERROR(__xludf.DUMMYFUNCTION("if(isblank($A31),"""",iferror(sum(query('Saída'!$A$3:$G$505,""select E where B = '""&amp;$A31&amp;""' and A = '""&amp;C$24&amp;""'"")),0)+iferror(sum(query('Saída'!$J$3:$R$505,""select O where L = '""&amp;$A31&amp;""' and J = '""&amp;C$24&amp;""'"")),0))"),83.96000000000001)</f>
        <v>83.96</v>
      </c>
      <c r="D31" s="83">
        <f>IFERROR(__xludf.DUMMYFUNCTION("if(isblank($A31),"""",iferror(sum(query('Saída'!$A$3:$G$505,""select E where B = '""&amp;$A31&amp;""' and A = '""&amp;D$24&amp;""'"")),0)+iferror(sum(query('Saída'!$J$3:$R$505,""select O where L = '""&amp;$A31&amp;""' and J = '""&amp;D$24&amp;""'"")),0))"),0.0)</f>
        <v>0</v>
      </c>
      <c r="E31" s="83">
        <f>IFERROR(__xludf.DUMMYFUNCTION("if(isblank($A31),"""",iferror(sum(query('Saída'!$A$3:$G$505,""select E where B = '""&amp;$A31&amp;""' and A = '""&amp;E$24&amp;""'"")),0)+iferror(sum(query('Saída'!$J$3:$R$505,""select O where L = '""&amp;$A31&amp;""' and J = '""&amp;E$24&amp;""'"")),0))"),0.0)</f>
        <v>0</v>
      </c>
      <c r="F31" s="83">
        <f>IFERROR(__xludf.DUMMYFUNCTION("if(isblank($A31),"""",iferror(sum(query('Saída'!$A$3:$G$505,""select E where B = '""&amp;$A31&amp;""' and A = '""&amp;F$24&amp;""'"")),0)+iferror(sum(query('Saída'!$J$3:$R$505,""select O where L = '""&amp;$A31&amp;""' and J = '""&amp;F$24&amp;""'"")),0))"),0.0)</f>
        <v>0</v>
      </c>
      <c r="G31" s="83">
        <f>IFERROR(__xludf.DUMMYFUNCTION("if(isblank($A31),"""",iferror(sum(query('Saída'!$A$3:$G$505,""select E where B = '""&amp;$A31&amp;""' and A = '""&amp;G$24&amp;""'"")),0)+iferror(sum(query('Saída'!$J$3:$R$505,""select O where L = '""&amp;$A31&amp;""' and J = '""&amp;G$24&amp;""'"")),0))"),0.0)</f>
        <v>0</v>
      </c>
      <c r="H31" s="83">
        <f>IFERROR(__xludf.DUMMYFUNCTION("if(isblank($A31),"""",iferror(sum(query('Saída'!$A$3:$G$505,""select E where B = '""&amp;$A31&amp;""' and A = '""&amp;H$24&amp;""'"")),0)+iferror(sum(query('Saída'!$J$3:$R$505,""select O where L = '""&amp;$A31&amp;""' and J = '""&amp;H$24&amp;""'"")),0))"),0.0)</f>
        <v>0</v>
      </c>
      <c r="I31" s="83">
        <f>IFERROR(__xludf.DUMMYFUNCTION("if(isblank($A31),"""",iferror(sum(query('Saída'!$A$3:$G$505,""select E where B = '""&amp;$A31&amp;""' and A = '""&amp;I$24&amp;""'"")),0)+iferror(sum(query('Saída'!$J$3:$R$505,""select O where L = '""&amp;$A31&amp;""' and J = '""&amp;I$24&amp;""'"")),0))"),0.0)</f>
        <v>0</v>
      </c>
      <c r="J31" s="83">
        <f>IFERROR(__xludf.DUMMYFUNCTION("if(isblank($A31),"""",iferror(sum(query('Saída'!$A$3:$G$505,""select E where B = '""&amp;$A31&amp;""' and A = '""&amp;J$24&amp;""'"")),0)+iferror(sum(query('Saída'!$J$3:$R$505,""select O where L = '""&amp;$A31&amp;""' and J = '""&amp;J$24&amp;""'"")),0))"),0.0)</f>
        <v>0</v>
      </c>
      <c r="K31" s="83">
        <f>IFERROR(__xludf.DUMMYFUNCTION("if(isblank($A31),"""",iferror(sum(query('Saída'!$A$3:$G$505,""select E where B = '""&amp;$A31&amp;""' and A = '""&amp;K$24&amp;""'"")),0)+iferror(sum(query('Saída'!$J$3:$R$505,""select O where L = '""&amp;$A31&amp;""' and J = '""&amp;K$24&amp;""'"")),0))"),62.0)</f>
        <v>62</v>
      </c>
      <c r="L31" s="83">
        <f>IFERROR(__xludf.DUMMYFUNCTION("if(isblank($A31),"""",iferror(sum(query('Saída'!$A$3:$G$505,""select E where B = '""&amp;$A31&amp;""' and A = '""&amp;L$24&amp;""'"")),0)+iferror(sum(query('Saída'!$J$3:$R$505,""select O where L = '""&amp;$A31&amp;""' and J = '""&amp;L$24&amp;""'"")),0))"),0.0)</f>
        <v>0</v>
      </c>
      <c r="M31" s="83">
        <f>IFERROR(__xludf.DUMMYFUNCTION("if(isblank($A31),"""",iferror(sum(query('Saída'!$A$3:$G$505,""select E where B = '""&amp;$A31&amp;""' and A = '""&amp;M$24&amp;""'"")),0)+iferror(sum(query('Saída'!$J$3:$R$505,""select O where L = '""&amp;$A31&amp;""' and J = '""&amp;M$24&amp;""'"")),0))"),7.9)</f>
        <v>7.9</v>
      </c>
      <c r="N31" s="84">
        <f t="shared" si="3"/>
        <v>153.86</v>
      </c>
      <c r="O31" s="81"/>
      <c r="P31" s="92"/>
      <c r="Q31" s="81"/>
      <c r="R31" s="81"/>
      <c r="S31" s="81"/>
      <c r="T31" s="81"/>
      <c r="U31" s="81"/>
      <c r="V31" s="81"/>
      <c r="W31" s="81"/>
      <c r="X31" s="81"/>
      <c r="Y31" s="81"/>
    </row>
    <row r="32">
      <c r="A32" s="96" t="str">
        <f>IFERROR(__xludf.DUMMYFUNCTION("""COMPUTED_VALUE"""),"Fatura")</f>
        <v>Fatura</v>
      </c>
      <c r="B32" s="99">
        <f>IFERROR(__xludf.DUMMYFUNCTION("if(isblank($A32),"""",iferror(sum(query('Saída'!$A$3:$G$505,""select E where B = '""&amp;$A32&amp;""' and A = '""&amp;B$24&amp;""'"")),0)+iferror(sum(query('Saída'!$J$3:$R$505,""select O where L = '""&amp;$A32&amp;""' and J = '""&amp;B$24&amp;""'"")),0))"),239.78)</f>
        <v>239.78</v>
      </c>
      <c r="C32" s="83">
        <f>IFERROR(__xludf.DUMMYFUNCTION("if(isblank($A32),"""",iferror(sum(query('Saída'!$A$3:$G$505,""select E where B = '""&amp;$A32&amp;""' and A = '""&amp;C$24&amp;""'"")),0)+iferror(sum(query('Saída'!$J$3:$R$505,""select O where L = '""&amp;$A32&amp;""' and J = '""&amp;C$24&amp;""'"")),0))"),406.13)</f>
        <v>406.13</v>
      </c>
      <c r="D32" s="83">
        <f>IFERROR(__xludf.DUMMYFUNCTION("if(isblank($A32),"""",iferror(sum(query('Saída'!$A$3:$G$505,""select E where B = '""&amp;$A32&amp;""' and A = '""&amp;D$24&amp;""'"")),0)+iferror(sum(query('Saída'!$J$3:$R$505,""select O where L = '""&amp;$A32&amp;""' and J = '""&amp;D$24&amp;""'"")),0))"),506.0)</f>
        <v>506</v>
      </c>
      <c r="E32" s="83">
        <f>IFERROR(__xludf.DUMMYFUNCTION("if(isblank($A32),"""",iferror(sum(query('Saída'!$A$3:$G$505,""select E where B = '""&amp;$A32&amp;""' and A = '""&amp;E$24&amp;""'"")),0)+iferror(sum(query('Saída'!$J$3:$R$505,""select O where L = '""&amp;$A32&amp;""' and J = '""&amp;E$24&amp;""'"")),0))"),580.95)</f>
        <v>580.95</v>
      </c>
      <c r="F32" s="83">
        <f>IFERROR(__xludf.DUMMYFUNCTION("if(isblank($A32),"""",iferror(sum(query('Saída'!$A$3:$G$505,""select E where B = '""&amp;$A32&amp;""' and A = '""&amp;F$24&amp;""'"")),0)+iferror(sum(query('Saída'!$J$3:$R$505,""select O where L = '""&amp;$A32&amp;""' and J = '""&amp;F$24&amp;""'"")),0))"),423.68)</f>
        <v>423.68</v>
      </c>
      <c r="G32" s="83">
        <f>IFERROR(__xludf.DUMMYFUNCTION("if(isblank($A32),"""",iferror(sum(query('Saída'!$A$3:$G$505,""select E where B = '""&amp;$A32&amp;""' and A = '""&amp;G$24&amp;""'"")),0)+iferror(sum(query('Saída'!$J$3:$R$505,""select O where L = '""&amp;$A32&amp;""' and J = '""&amp;G$24&amp;""'"")),0))"),414.63)</f>
        <v>414.63</v>
      </c>
      <c r="H32" s="83">
        <f>IFERROR(__xludf.DUMMYFUNCTION("if(isblank($A32),"""",iferror(sum(query('Saída'!$A$3:$G$505,""select E where B = '""&amp;$A32&amp;""' and A = '""&amp;H$24&amp;""'"")),0)+iferror(sum(query('Saída'!$J$3:$R$505,""select O where L = '""&amp;$A32&amp;""' and J = '""&amp;H$24&amp;""'"")),0))"),356.68)</f>
        <v>356.68</v>
      </c>
      <c r="I32" s="83">
        <f>IFERROR(__xludf.DUMMYFUNCTION("if(isblank($A32),"""",iferror(sum(query('Saída'!$A$3:$G$505,""select E where B = '""&amp;$A32&amp;""' and A = '""&amp;I$24&amp;""'"")),0)+iferror(sum(query('Saída'!$J$3:$R$505,""select O where L = '""&amp;$A32&amp;""' and J = '""&amp;I$24&amp;""'"")),0))"),349.68)</f>
        <v>349.68</v>
      </c>
      <c r="J32" s="83">
        <f>IFERROR(__xludf.DUMMYFUNCTION("if(isblank($A32),"""",iferror(sum(query('Saída'!$A$3:$G$505,""select E where B = '""&amp;$A32&amp;""' and A = '""&amp;J$24&amp;""'"")),0)+iferror(sum(query('Saída'!$J$3:$R$505,""select O where L = '""&amp;$A32&amp;""' and J = '""&amp;J$24&amp;""'"")),0))"),600.13)</f>
        <v>600.13</v>
      </c>
      <c r="K32" s="83">
        <f>IFERROR(__xludf.DUMMYFUNCTION("if(isblank($A32),"""",iferror(sum(query('Saída'!$A$3:$G$505,""select E where B = '""&amp;$A32&amp;""' and A = '""&amp;K$24&amp;""'"")),0)+iferror(sum(query('Saída'!$J$3:$R$505,""select O where L = '""&amp;$A32&amp;""' and J = '""&amp;K$24&amp;""'"")),0))"),352.08)</f>
        <v>352.08</v>
      </c>
      <c r="L32" s="83">
        <f>IFERROR(__xludf.DUMMYFUNCTION("if(isblank($A32),"""",iferror(sum(query('Saída'!$A$3:$G$505,""select E where B = '""&amp;$A32&amp;""' and A = '""&amp;L$24&amp;""'"")),0)+iferror(sum(query('Saída'!$J$3:$R$505,""select O where L = '""&amp;$A32&amp;""' and J = '""&amp;L$24&amp;""'"")),0))"),1630.04)</f>
        <v>1630.04</v>
      </c>
      <c r="M32" s="83">
        <f>IFERROR(__xludf.DUMMYFUNCTION("if(isblank($A32),"""",iferror(sum(query('Saída'!$A$3:$G$505,""select E where B = '""&amp;$A32&amp;""' and A = '""&amp;M$24&amp;""'"")),0)+iferror(sum(query('Saída'!$J$3:$R$505,""select O where L = '""&amp;$A32&amp;""' and J = '""&amp;M$24&amp;""'"")),0))"),320.7)</f>
        <v>320.7</v>
      </c>
      <c r="N32" s="84">
        <f t="shared" si="3"/>
        <v>6180.48</v>
      </c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</row>
    <row r="33">
      <c r="A33" s="100" t="str">
        <f>IFERROR(__xludf.DUMMYFUNCTION("""COMPUTED_VALUE"""),"Serviços")</f>
        <v>Serviços</v>
      </c>
      <c r="B33" s="99">
        <f>IFERROR(__xludf.DUMMYFUNCTION("if(isblank($A33),"""",iferror(sum(query('Saída'!$A$3:$G$505,""select E where B = '""&amp;$A33&amp;""' and A = '""&amp;B$24&amp;""'"")),0)+iferror(sum(query('Saída'!$J$3:$R$505,""select O where L = '""&amp;$A33&amp;""' and J = '""&amp;B$24&amp;""'"")),0))"),1298.9)</f>
        <v>1298.9</v>
      </c>
      <c r="C33" s="83">
        <f>IFERROR(__xludf.DUMMYFUNCTION("if(isblank($A33),"""",iferror(sum(query('Saída'!$A$3:$G$505,""select E where B = '""&amp;$A33&amp;""' and A = '""&amp;C$24&amp;""'"")),0)+iferror(sum(query('Saída'!$J$3:$R$505,""select O where L = '""&amp;$A33&amp;""' and J = '""&amp;C$24&amp;""'"")),0))"),200.0)</f>
        <v>200</v>
      </c>
      <c r="D33" s="83">
        <f>IFERROR(__xludf.DUMMYFUNCTION("if(isblank($A33),"""",iferror(sum(query('Saída'!$A$3:$G$505,""select E where B = '""&amp;$A33&amp;""' and A = '""&amp;D$24&amp;""'"")),0)+iferror(sum(query('Saída'!$J$3:$R$505,""select O where L = '""&amp;$A33&amp;""' and J = '""&amp;D$24&amp;""'"")),0))"),411.8)</f>
        <v>411.8</v>
      </c>
      <c r="E33" s="83">
        <f>IFERROR(__xludf.DUMMYFUNCTION("if(isblank($A33),"""",iferror(sum(query('Saída'!$A$3:$G$505,""select E where B = '""&amp;$A33&amp;""' and A = '""&amp;E$24&amp;""'"")),0)+iferror(sum(query('Saída'!$J$3:$R$505,""select O where L = '""&amp;$A33&amp;""' and J = '""&amp;E$24&amp;""'"")),0))"),475.9)</f>
        <v>475.9</v>
      </c>
      <c r="F33" s="83">
        <f>IFERROR(__xludf.DUMMYFUNCTION("if(isblank($A33),"""",iferror(sum(query('Saída'!$A$3:$G$505,""select E where B = '""&amp;$A33&amp;""' and A = '""&amp;F$24&amp;""'"")),0)+iferror(sum(query('Saída'!$J$3:$R$505,""select O where L = '""&amp;$A33&amp;""' and J = '""&amp;F$24&amp;""'"")),0))"),613.21)</f>
        <v>613.21</v>
      </c>
      <c r="G33" s="83">
        <f>IFERROR(__xludf.DUMMYFUNCTION("if(isblank($A33),"""",iferror(sum(query('Saída'!$A$3:$G$505,""select E where B = '""&amp;$A33&amp;""' and A = '""&amp;G$24&amp;""'"")),0)+iferror(sum(query('Saída'!$J$3:$R$505,""select O where L = '""&amp;$A33&amp;""' and J = '""&amp;G$24&amp;""'"")),0))"),625.9)</f>
        <v>625.9</v>
      </c>
      <c r="H33" s="83">
        <f>IFERROR(__xludf.DUMMYFUNCTION("if(isblank($A33),"""",iferror(sum(query('Saída'!$A$3:$G$505,""select E where B = '""&amp;$A33&amp;""' and A = '""&amp;H$24&amp;""'"")),0)+iferror(sum(query('Saída'!$J$3:$R$505,""select O where L = '""&amp;$A33&amp;""' and J = '""&amp;H$24&amp;""'"")),0))"),463.97)</f>
        <v>463.97</v>
      </c>
      <c r="I33" s="83">
        <f>IFERROR(__xludf.DUMMYFUNCTION("if(isblank($A33),"""",iferror(sum(query('Saída'!$A$3:$G$505,""select E where B = '""&amp;$A33&amp;""' and A = '""&amp;I$24&amp;""'"")),0)+iferror(sum(query('Saída'!$J$3:$R$505,""select O where L = '""&amp;$A33&amp;""' and J = '""&amp;I$24&amp;""'"")),0))"),444.08)</f>
        <v>444.08</v>
      </c>
      <c r="J33" s="83">
        <f>IFERROR(__xludf.DUMMYFUNCTION("if(isblank($A33),"""",iferror(sum(query('Saída'!$A$3:$G$505,""select E where B = '""&amp;$A33&amp;""' and A = '""&amp;J$24&amp;""'"")),0)+iferror(sum(query('Saída'!$J$3:$R$505,""select O where L = '""&amp;$A33&amp;""' and J = '""&amp;J$24&amp;""'"")),0))"),616.71)</f>
        <v>616.71</v>
      </c>
      <c r="K33" s="83">
        <f>IFERROR(__xludf.DUMMYFUNCTION("if(isblank($A33),"""",iferror(sum(query('Saída'!$A$3:$G$505,""select E where B = '""&amp;$A33&amp;""' and A = '""&amp;K$24&amp;""'"")),0)+iferror(sum(query('Saída'!$J$3:$R$505,""select O where L = '""&amp;$A33&amp;""' and J = '""&amp;K$24&amp;""'"")),0))"),514.36)</f>
        <v>514.36</v>
      </c>
      <c r="L33" s="83">
        <f>IFERROR(__xludf.DUMMYFUNCTION("if(isblank($A33),"""",iferror(sum(query('Saída'!$A$3:$G$505,""select E where B = '""&amp;$A33&amp;""' and A = '""&amp;L$24&amp;""'"")),0)+iferror(sum(query('Saída'!$J$3:$R$505,""select O where L = '""&amp;$A33&amp;""' and J = '""&amp;L$24&amp;""'"")),0))"),283.81)</f>
        <v>283.81</v>
      </c>
      <c r="M33" s="83">
        <f>IFERROR(__xludf.DUMMYFUNCTION("if(isblank($A33),"""",iferror(sum(query('Saída'!$A$3:$G$505,""select E where B = '""&amp;$A33&amp;""' and A = '""&amp;M$24&amp;""'"")),0)+iferror(sum(query('Saída'!$J$3:$R$505,""select O where L = '""&amp;$A33&amp;""' and J = '""&amp;M$24&amp;""'"")),0))"),154.2)</f>
        <v>154.2</v>
      </c>
      <c r="N33" s="84">
        <f t="shared" si="3"/>
        <v>6102.84</v>
      </c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</row>
    <row r="34">
      <c r="A34" s="100" t="str">
        <f>IFERROR(__xludf.DUMMYFUNCTION("""COMPUTED_VALUE"""),"Produtos")</f>
        <v>Produtos</v>
      </c>
      <c r="B34" s="99">
        <f>IFERROR(__xludf.DUMMYFUNCTION("if(isblank($A34),"""",iferror(sum(query('Saída'!$A$3:$G$505,""select E where B = '""&amp;$A34&amp;""' and A = '""&amp;B$24&amp;""'"")),0)+iferror(sum(query('Saída'!$J$3:$R$505,""select O where L = '""&amp;$A34&amp;""' and J = '""&amp;B$24&amp;""'"")),0))"),498.99)</f>
        <v>498.99</v>
      </c>
      <c r="C34" s="83">
        <f>IFERROR(__xludf.DUMMYFUNCTION("if(isblank($A34),"""",iferror(sum(query('Saída'!$A$3:$G$505,""select E where B = '""&amp;$A34&amp;""' and A = '""&amp;C$24&amp;""'"")),0)+iferror(sum(query('Saída'!$J$3:$R$505,""select O where L = '""&amp;$A34&amp;""' and J = '""&amp;C$24&amp;""'"")),0))"),781.9)</f>
        <v>781.9</v>
      </c>
      <c r="D34" s="83">
        <f>IFERROR(__xludf.DUMMYFUNCTION("if(isblank($A34),"""",iferror(sum(query('Saída'!$A$3:$G$505,""select E where B = '""&amp;$A34&amp;""' and A = '""&amp;D$24&amp;""'"")),0)+iferror(sum(query('Saída'!$J$3:$R$505,""select O where L = '""&amp;$A34&amp;""' and J = '""&amp;D$24&amp;""'"")),0))"),0.0)</f>
        <v>0</v>
      </c>
      <c r="E34" s="83">
        <f>IFERROR(__xludf.DUMMYFUNCTION("if(isblank($A34),"""",iferror(sum(query('Saída'!$A$3:$G$505,""select E where B = '""&amp;$A34&amp;""' and A = '""&amp;E$24&amp;""'"")),0)+iferror(sum(query('Saída'!$J$3:$R$505,""select O where L = '""&amp;$A34&amp;""' and J = '""&amp;E$24&amp;""'"")),0))"),2409.5)</f>
        <v>2409.5</v>
      </c>
      <c r="F34" s="83">
        <f>IFERROR(__xludf.DUMMYFUNCTION("if(isblank($A34),"""",iferror(sum(query('Saída'!$A$3:$G$505,""select E where B = '""&amp;$A34&amp;""' and A = '""&amp;F$24&amp;""'"")),0)+iferror(sum(query('Saída'!$J$3:$R$505,""select O where L = '""&amp;$A34&amp;""' and J = '""&amp;F$24&amp;""'"")),0))"),0.0)</f>
        <v>0</v>
      </c>
      <c r="G34" s="83">
        <f>IFERROR(__xludf.DUMMYFUNCTION("if(isblank($A34),"""",iferror(sum(query('Saída'!$A$3:$G$505,""select E where B = '""&amp;$A34&amp;""' and A = '""&amp;G$24&amp;""'"")),0)+iferror(sum(query('Saída'!$J$3:$R$505,""select O where L = '""&amp;$A34&amp;""' and J = '""&amp;G$24&amp;""'"")),0))"),123.02)</f>
        <v>123.02</v>
      </c>
      <c r="H34" s="83">
        <f>IFERROR(__xludf.DUMMYFUNCTION("if(isblank($A34),"""",iferror(sum(query('Saída'!$A$3:$G$505,""select E where B = '""&amp;$A34&amp;""' and A = '""&amp;H$24&amp;""'"")),0)+iferror(sum(query('Saída'!$J$3:$R$505,""select O where L = '""&amp;$A34&amp;""' and J = '""&amp;H$24&amp;""'"")),0))"),0.0)</f>
        <v>0</v>
      </c>
      <c r="I34" s="83">
        <f>IFERROR(__xludf.DUMMYFUNCTION("if(isblank($A34),"""",iferror(sum(query('Saída'!$A$3:$G$505,""select E where B = '""&amp;$A34&amp;""' and A = '""&amp;I$24&amp;""'"")),0)+iferror(sum(query('Saída'!$J$3:$R$505,""select O where L = '""&amp;$A34&amp;""' and J = '""&amp;I$24&amp;""'"")),0))"),234.14)</f>
        <v>234.14</v>
      </c>
      <c r="J34" s="83">
        <f>IFERROR(__xludf.DUMMYFUNCTION("if(isblank($A34),"""",iferror(sum(query('Saída'!$A$3:$G$505,""select E where B = '""&amp;$A34&amp;""' and A = '""&amp;J$24&amp;""'"")),0)+iferror(sum(query('Saída'!$J$3:$R$505,""select O where L = '""&amp;$A34&amp;""' and J = '""&amp;J$24&amp;""'"")),0))"),75.9)</f>
        <v>75.9</v>
      </c>
      <c r="K34" s="83">
        <f>IFERROR(__xludf.DUMMYFUNCTION("if(isblank($A34),"""",iferror(sum(query('Saída'!$A$3:$G$505,""select E where B = '""&amp;$A34&amp;""' and A = '""&amp;K$24&amp;""'"")),0)+iferror(sum(query('Saída'!$J$3:$R$505,""select O where L = '""&amp;$A34&amp;""' and J = '""&amp;K$24&amp;""'"")),0))"),0.0)</f>
        <v>0</v>
      </c>
      <c r="L34" s="83">
        <f>IFERROR(__xludf.DUMMYFUNCTION("if(isblank($A34),"""",iferror(sum(query('Saída'!$A$3:$G$505,""select E where B = '""&amp;$A34&amp;""' and A = '""&amp;L$24&amp;""'"")),0)+iferror(sum(query('Saída'!$J$3:$R$505,""select O where L = '""&amp;$A34&amp;""' and J = '""&amp;L$24&amp;""'"")),0))"),31.07)</f>
        <v>31.07</v>
      </c>
      <c r="M34" s="83">
        <f>IFERROR(__xludf.DUMMYFUNCTION("if(isblank($A34),"""",iferror(sum(query('Saída'!$A$3:$G$505,""select E where B = '""&amp;$A34&amp;""' and A = '""&amp;M$24&amp;""'"")),0)+iferror(sum(query('Saída'!$J$3:$R$505,""select O where L = '""&amp;$A34&amp;""' and J = '""&amp;M$24&amp;""'"")),0))"),0.0)</f>
        <v>0</v>
      </c>
      <c r="N34" s="84">
        <f t="shared" si="3"/>
        <v>4154.52</v>
      </c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</row>
    <row r="35">
      <c r="A35" s="100" t="str">
        <f>IFERROR(__xludf.DUMMYFUNCTION("""COMPUTED_VALUE"""),"Transferência")</f>
        <v>Transferência</v>
      </c>
      <c r="B35" s="99">
        <f>IFERROR(__xludf.DUMMYFUNCTION("if(isblank($A35),"""",iferror(sum(query('Saída'!$A$3:$G$505,""select E where B = '""&amp;$A35&amp;""' and A = '""&amp;B$24&amp;""'"")),0)+iferror(sum(query('Saída'!$J$3:$R$505,""select O where L = '""&amp;$A35&amp;""' and J = '""&amp;B$24&amp;""'"")),0))"),0.0)</f>
        <v>0</v>
      </c>
      <c r="C35" s="83">
        <f>IFERROR(__xludf.DUMMYFUNCTION("if(isblank($A35),"""",iferror(sum(query('Saída'!$A$3:$G$505,""select E where B = '""&amp;$A35&amp;""' and A = '""&amp;C$24&amp;""'"")),0)+iferror(sum(query('Saída'!$J$3:$R$505,""select O where L = '""&amp;$A35&amp;""' and J = '""&amp;C$24&amp;""'"")),0))"),0.0)</f>
        <v>0</v>
      </c>
      <c r="D35" s="83">
        <f>IFERROR(__xludf.DUMMYFUNCTION("if(isblank($A35),"""",iferror(sum(query('Saída'!$A$3:$G$505,""select E where B = '""&amp;$A35&amp;""' and A = '""&amp;D$24&amp;""'"")),0)+iferror(sum(query('Saída'!$J$3:$R$505,""select O where L = '""&amp;$A35&amp;""' and J = '""&amp;D$24&amp;""'"")),0))"),600.0)</f>
        <v>600</v>
      </c>
      <c r="E35" s="83">
        <f>IFERROR(__xludf.DUMMYFUNCTION("if(isblank($A35),"""",iferror(sum(query('Saída'!$A$3:$G$505,""select E where B = '""&amp;$A35&amp;""' and A = '""&amp;E$24&amp;""'"")),0)+iferror(sum(query('Saída'!$J$3:$R$505,""select O where L = '""&amp;$A35&amp;""' and J = '""&amp;E$24&amp;""'"")),0))"),0.0)</f>
        <v>0</v>
      </c>
      <c r="F35" s="83">
        <f>IFERROR(__xludf.DUMMYFUNCTION("if(isblank($A35),"""",iferror(sum(query('Saída'!$A$3:$G$505,""select E where B = '""&amp;$A35&amp;""' and A = '""&amp;F$24&amp;""'"")),0)+iferror(sum(query('Saída'!$J$3:$R$505,""select O where L = '""&amp;$A35&amp;""' and J = '""&amp;F$24&amp;""'"")),0))"),0.0)</f>
        <v>0</v>
      </c>
      <c r="G35" s="83">
        <f>IFERROR(__xludf.DUMMYFUNCTION("if(isblank($A35),"""",iferror(sum(query('Saída'!$A$3:$G$505,""select E where B = '""&amp;$A35&amp;""' and A = '""&amp;G$24&amp;""'"")),0)+iferror(sum(query('Saída'!$J$3:$R$505,""select O where L = '""&amp;$A35&amp;""' and J = '""&amp;G$24&amp;""'"")),0))"),700.0)</f>
        <v>700</v>
      </c>
      <c r="H35" s="83">
        <f>IFERROR(__xludf.DUMMYFUNCTION("if(isblank($A35),"""",iferror(sum(query('Saída'!$A$3:$G$505,""select E where B = '""&amp;$A35&amp;""' and A = '""&amp;H$24&amp;""'"")),0)+iferror(sum(query('Saída'!$J$3:$R$505,""select O where L = '""&amp;$A35&amp;""' and J = '""&amp;H$24&amp;""'"")),0))"),0.0)</f>
        <v>0</v>
      </c>
      <c r="I35" s="83">
        <f>IFERROR(__xludf.DUMMYFUNCTION("if(isblank($A35),"""",iferror(sum(query('Saída'!$A$3:$G$505,""select E where B = '""&amp;$A35&amp;""' and A = '""&amp;I$24&amp;""'"")),0)+iferror(sum(query('Saída'!$J$3:$R$505,""select O where L = '""&amp;$A35&amp;""' and J = '""&amp;I$24&amp;""'"")),0))"),0.0)</f>
        <v>0</v>
      </c>
      <c r="J35" s="83">
        <f>IFERROR(__xludf.DUMMYFUNCTION("if(isblank($A35),"""",iferror(sum(query('Saída'!$A$3:$G$505,""select E where B = '""&amp;$A35&amp;""' and A = '""&amp;J$24&amp;""'"")),0)+iferror(sum(query('Saída'!$J$3:$R$505,""select O where L = '""&amp;$A35&amp;""' and J = '""&amp;J$24&amp;""'"")),0))"),101.0)</f>
        <v>101</v>
      </c>
      <c r="K35" s="83">
        <f>IFERROR(__xludf.DUMMYFUNCTION("if(isblank($A35),"""",iferror(sum(query('Saída'!$A$3:$G$505,""select E where B = '""&amp;$A35&amp;""' and A = '""&amp;K$24&amp;""'"")),0)+iferror(sum(query('Saída'!$J$3:$R$505,""select O where L = '""&amp;$A35&amp;""' and J = '""&amp;K$24&amp;""'"")),0))"),8.9)</f>
        <v>8.9</v>
      </c>
      <c r="L35" s="83">
        <f>IFERROR(__xludf.DUMMYFUNCTION("if(isblank($A35),"""",iferror(sum(query('Saída'!$A$3:$G$505,""select E where B = '""&amp;$A35&amp;""' and A = '""&amp;L$24&amp;""'"")),0)+iferror(sum(query('Saída'!$J$3:$R$505,""select O where L = '""&amp;$A35&amp;""' and J = '""&amp;L$24&amp;""'"")),0))"),4.0)</f>
        <v>4</v>
      </c>
      <c r="M35" s="83">
        <f>IFERROR(__xludf.DUMMYFUNCTION("if(isblank($A35),"""",iferror(sum(query('Saída'!$A$3:$G$505,""select E where B = '""&amp;$A35&amp;""' and A = '""&amp;M$24&amp;""'"")),0)+iferror(sum(query('Saída'!$J$3:$R$505,""select O where L = '""&amp;$A35&amp;""' and J = '""&amp;M$24&amp;""'"")),0))"),0.0)</f>
        <v>0</v>
      </c>
      <c r="N35" s="84">
        <f t="shared" si="3"/>
        <v>1413.9</v>
      </c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</row>
    <row r="36">
      <c r="A36" s="100" t="str">
        <f>IFERROR(__xludf.DUMMYFUNCTION("""COMPUTED_VALUE"""),"Feira")</f>
        <v>Feira</v>
      </c>
      <c r="B36" s="99">
        <f>IFERROR(__xludf.DUMMYFUNCTION("if(isblank($A36),"""",iferror(sum(query('Saída'!$A$3:$G$505,""select E where B = '""&amp;$A36&amp;""' and A = '""&amp;B$24&amp;""'"")),0)+iferror(sum(query('Saída'!$J$3:$R$505,""select O where L = '""&amp;$A36&amp;""' and J = '""&amp;B$24&amp;""'"")),0))"),0.0)</f>
        <v>0</v>
      </c>
      <c r="C36" s="83">
        <f>IFERROR(__xludf.DUMMYFUNCTION("if(isblank($A36),"""",iferror(sum(query('Saída'!$A$3:$G$505,""select E where B = '""&amp;$A36&amp;""' and A = '""&amp;C$24&amp;""'"")),0)+iferror(sum(query('Saída'!$J$3:$R$505,""select O where L = '""&amp;$A36&amp;""' and J = '""&amp;C$24&amp;""'"")),0))"),420.53)</f>
        <v>420.53</v>
      </c>
      <c r="D36" s="83">
        <f>IFERROR(__xludf.DUMMYFUNCTION("if(isblank($A36),"""",iferror(sum(query('Saída'!$A$3:$G$505,""select E where B = '""&amp;$A36&amp;""' and A = '""&amp;D$24&amp;""'"")),0)+iferror(sum(query('Saída'!$J$3:$R$505,""select O where L = '""&amp;$A36&amp;""' and J = '""&amp;D$24&amp;""'"")),0))"),0.0)</f>
        <v>0</v>
      </c>
      <c r="E36" s="83">
        <f>IFERROR(__xludf.DUMMYFUNCTION("if(isblank($A36),"""",iferror(sum(query('Saída'!$A$3:$G$505,""select E where B = '""&amp;$A36&amp;""' and A = '""&amp;E$24&amp;""'"")),0)+iferror(sum(query('Saída'!$J$3:$R$505,""select O where L = '""&amp;$A36&amp;""' and J = '""&amp;E$24&amp;""'"")),0))"),0.0)</f>
        <v>0</v>
      </c>
      <c r="F36" s="83">
        <f>IFERROR(__xludf.DUMMYFUNCTION("if(isblank($A36),"""",iferror(sum(query('Saída'!$A$3:$G$505,""select E where B = '""&amp;$A36&amp;""' and A = '""&amp;F$24&amp;""'"")),0)+iferror(sum(query('Saída'!$J$3:$R$505,""select O where L = '""&amp;$A36&amp;""' and J = '""&amp;F$24&amp;""'"")),0))"),43.86)</f>
        <v>43.86</v>
      </c>
      <c r="G36" s="83">
        <f>IFERROR(__xludf.DUMMYFUNCTION("if(isblank($A36),"""",iferror(sum(query('Saída'!$A$3:$G$505,""select E where B = '""&amp;$A36&amp;""' and A = '""&amp;G$24&amp;""'"")),0)+iferror(sum(query('Saída'!$J$3:$R$505,""select O where L = '""&amp;$A36&amp;""' and J = '""&amp;G$24&amp;""'"")),0))"),0.0)</f>
        <v>0</v>
      </c>
      <c r="H36" s="83">
        <f>IFERROR(__xludf.DUMMYFUNCTION("if(isblank($A36),"""",iferror(sum(query('Saída'!$A$3:$G$505,""select E where B = '""&amp;$A36&amp;""' and A = '""&amp;H$24&amp;""'"")),0)+iferror(sum(query('Saída'!$J$3:$R$505,""select O where L = '""&amp;$A36&amp;""' and J = '""&amp;H$24&amp;""'"")),0))"),0.0)</f>
        <v>0</v>
      </c>
      <c r="I36" s="83">
        <f>IFERROR(__xludf.DUMMYFUNCTION("if(isblank($A36),"""",iferror(sum(query('Saída'!$A$3:$G$505,""select E where B = '""&amp;$A36&amp;""' and A = '""&amp;I$24&amp;""'"")),0)+iferror(sum(query('Saída'!$J$3:$R$505,""select O where L = '""&amp;$A36&amp;""' and J = '""&amp;I$24&amp;""'"")),0))"),568.27)</f>
        <v>568.27</v>
      </c>
      <c r="J36" s="83">
        <f>IFERROR(__xludf.DUMMYFUNCTION("if(isblank($A36),"""",iferror(sum(query('Saída'!$A$3:$G$505,""select E where B = '""&amp;$A36&amp;""' and A = '""&amp;J$24&amp;""'"")),0)+iferror(sum(query('Saída'!$J$3:$R$505,""select O where L = '""&amp;$A36&amp;""' and J = '""&amp;J$24&amp;""'"")),0))"),509.9800000000001)</f>
        <v>509.98</v>
      </c>
      <c r="K36" s="83">
        <f>IFERROR(__xludf.DUMMYFUNCTION("if(isblank($A36),"""",iferror(sum(query('Saída'!$A$3:$G$505,""select E where B = '""&amp;$A36&amp;""' and A = '""&amp;K$24&amp;""'"")),0)+iferror(sum(query('Saída'!$J$3:$R$505,""select O where L = '""&amp;$A36&amp;""' and J = '""&amp;K$24&amp;""'"")),0))"),653.06)</f>
        <v>653.06</v>
      </c>
      <c r="L36" s="83">
        <f>IFERROR(__xludf.DUMMYFUNCTION("if(isblank($A36),"""",iferror(sum(query('Saída'!$A$3:$G$505,""select E where B = '""&amp;$A36&amp;""' and A = '""&amp;L$24&amp;""'"")),0)+iferror(sum(query('Saída'!$J$3:$R$505,""select O where L = '""&amp;$A36&amp;""' and J = '""&amp;L$24&amp;""'"")),0))"),503.92999999999995)</f>
        <v>503.93</v>
      </c>
      <c r="M36" s="83">
        <f>IFERROR(__xludf.DUMMYFUNCTION("if(isblank($A36),"""",iferror(sum(query('Saída'!$A$3:$G$505,""select E where B = '""&amp;$A36&amp;""' and A = '""&amp;M$24&amp;""'"")),0)+iferror(sum(query('Saída'!$J$3:$R$505,""select O where L = '""&amp;$A36&amp;""' and J = '""&amp;M$24&amp;""'"")),0))"),453.24999999999994)</f>
        <v>453.25</v>
      </c>
      <c r="N36" s="84">
        <f t="shared" si="3"/>
        <v>3152.88</v>
      </c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</row>
    <row r="37">
      <c r="A37" s="100" t="str">
        <f>IFERROR(__xludf.DUMMYFUNCTION("""COMPUTED_VALUE"""),"Empréstimo")</f>
        <v>Empréstimo</v>
      </c>
      <c r="B37" s="99">
        <f>IFERROR(__xludf.DUMMYFUNCTION("if(isblank($A37),"""",iferror(sum(query('Saída'!$A$3:$G$505,""select E where B = '""&amp;$A37&amp;""' and A = '""&amp;B$24&amp;""'"")),0)+iferror(sum(query('Saída'!$J$3:$R$505,""select O where L = '""&amp;$A37&amp;""' and J = '""&amp;B$24&amp;""'"")),0))"),0.0)</f>
        <v>0</v>
      </c>
      <c r="C37" s="83">
        <f>IFERROR(__xludf.DUMMYFUNCTION("if(isblank($A37),"""",iferror(sum(query('Saída'!$A$3:$G$505,""select E where B = '""&amp;$A37&amp;""' and A = '""&amp;C$24&amp;""'"")),0)+iferror(sum(query('Saída'!$J$3:$R$505,""select O where L = '""&amp;$A37&amp;""' and J = '""&amp;C$24&amp;""'"")),0))"),0.0)</f>
        <v>0</v>
      </c>
      <c r="D37" s="83">
        <f>IFERROR(__xludf.DUMMYFUNCTION("if(isblank($A37),"""",iferror(sum(query('Saída'!$A$3:$G$505,""select E where B = '""&amp;$A37&amp;""' and A = '""&amp;D$24&amp;""'"")),0)+iferror(sum(query('Saída'!$J$3:$R$505,""select O where L = '""&amp;$A37&amp;""' and J = '""&amp;D$24&amp;""'"")),0))"),0.0)</f>
        <v>0</v>
      </c>
      <c r="E37" s="83">
        <f>IFERROR(__xludf.DUMMYFUNCTION("if(isblank($A37),"""",iferror(sum(query('Saída'!$A$3:$G$505,""select E where B = '""&amp;$A37&amp;""' and A = '""&amp;E$24&amp;""'"")),0)+iferror(sum(query('Saída'!$J$3:$R$505,""select O where L = '""&amp;$A37&amp;""' and J = '""&amp;E$24&amp;""'"")),0))"),0.0)</f>
        <v>0</v>
      </c>
      <c r="F37" s="83">
        <f>IFERROR(__xludf.DUMMYFUNCTION("if(isblank($A37),"""",iferror(sum(query('Saída'!$A$3:$G$505,""select E where B = '""&amp;$A37&amp;""' and A = '""&amp;F$24&amp;""'"")),0)+iferror(sum(query('Saída'!$J$3:$R$505,""select O where L = '""&amp;$A37&amp;""' and J = '""&amp;F$24&amp;""'"")),0))"),0.0)</f>
        <v>0</v>
      </c>
      <c r="G37" s="83">
        <f>IFERROR(__xludf.DUMMYFUNCTION("if(isblank($A37),"""",iferror(sum(query('Saída'!$A$3:$G$505,""select E where B = '""&amp;$A37&amp;""' and A = '""&amp;G$24&amp;""'"")),0)+iferror(sum(query('Saída'!$J$3:$R$505,""select O where L = '""&amp;$A37&amp;""' and J = '""&amp;G$24&amp;""'"")),0))"),0.0)</f>
        <v>0</v>
      </c>
      <c r="H37" s="83">
        <f>IFERROR(__xludf.DUMMYFUNCTION("if(isblank($A37),"""",iferror(sum(query('Saída'!$A$3:$G$505,""select E where B = '""&amp;$A37&amp;""' and A = '""&amp;H$24&amp;""'"")),0)+iferror(sum(query('Saída'!$J$3:$R$505,""select O where L = '""&amp;$A37&amp;""' and J = '""&amp;H$24&amp;""'"")),0))"),0.0)</f>
        <v>0</v>
      </c>
      <c r="I37" s="83">
        <f>IFERROR(__xludf.DUMMYFUNCTION("if(isblank($A37),"""",iferror(sum(query('Saída'!$A$3:$G$505,""select E where B = '""&amp;$A37&amp;""' and A = '""&amp;I$24&amp;""'"")),0)+iferror(sum(query('Saída'!$J$3:$R$505,""select O where L = '""&amp;$A37&amp;""' and J = '""&amp;I$24&amp;""'"")),0))"),0.0)</f>
        <v>0</v>
      </c>
      <c r="J37" s="83">
        <f>IFERROR(__xludf.DUMMYFUNCTION("if(isblank($A37),"""",iferror(sum(query('Saída'!$A$3:$G$505,""select E where B = '""&amp;$A37&amp;""' and A = '""&amp;J$24&amp;""'"")),0)+iferror(sum(query('Saída'!$J$3:$R$505,""select O where L = '""&amp;$A37&amp;""' and J = '""&amp;J$24&amp;""'"")),0))"),0.0)</f>
        <v>0</v>
      </c>
      <c r="K37" s="83">
        <f>IFERROR(__xludf.DUMMYFUNCTION("if(isblank($A37),"""",iferror(sum(query('Saída'!$A$3:$G$505,""select E where B = '""&amp;$A37&amp;""' and A = '""&amp;K$24&amp;""'"")),0)+iferror(sum(query('Saída'!$J$3:$R$505,""select O where L = '""&amp;$A37&amp;""' and J = '""&amp;K$24&amp;""'"")),0))"),0.0)</f>
        <v>0</v>
      </c>
      <c r="L37" s="83">
        <f>IFERROR(__xludf.DUMMYFUNCTION("if(isblank($A37),"""",iferror(sum(query('Saída'!$A$3:$G$505,""select E where B = '""&amp;$A37&amp;""' and A = '""&amp;L$24&amp;""'"")),0)+iferror(sum(query('Saída'!$J$3:$R$505,""select O where L = '""&amp;$A37&amp;""' and J = '""&amp;L$24&amp;""'"")),0))"),0.0)</f>
        <v>0</v>
      </c>
      <c r="M37" s="83">
        <f>IFERROR(__xludf.DUMMYFUNCTION("if(isblank($A37),"""",iferror(sum(query('Saída'!$A$3:$G$505,""select E where B = '""&amp;$A37&amp;""' and A = '""&amp;M$24&amp;""'"")),0)+iferror(sum(query('Saída'!$J$3:$R$505,""select O where L = '""&amp;$A37&amp;""' and J = '""&amp;M$24&amp;""'"")),0))"),0.0)</f>
        <v>0</v>
      </c>
      <c r="N37" s="84">
        <f t="shared" si="3"/>
        <v>0</v>
      </c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</row>
    <row r="38">
      <c r="A38" s="100"/>
      <c r="B38" s="99" t="str">
        <f>IFERROR(__xludf.DUMMYFUNCTION("if(isblank($A38),"""",iferror(sum(query('Saída'!$A$3:$G$505,""select E where B = '""&amp;$A38&amp;""' and A = '""&amp;B$24&amp;""'"")),0)+iferror(sum(query('Saída'!$J$3:$R$505,""select O where L = '""&amp;$A38&amp;""' and J = '""&amp;B$24&amp;""'"")),0))"),"")</f>
        <v/>
      </c>
      <c r="C38" s="83" t="str">
        <f>IFERROR(__xludf.DUMMYFUNCTION("if(isblank($A38),"""",iferror(sum(query('Saída'!$A$3:$G$505,""select E where B = '""&amp;$A38&amp;""' and A = '""&amp;C$24&amp;""'"")),0)+iferror(sum(query('Saída'!$J$3:$R$505,""select O where L = '""&amp;$A38&amp;""' and J = '""&amp;C$24&amp;""'"")),0))"),"")</f>
        <v/>
      </c>
      <c r="D38" s="83" t="str">
        <f>IFERROR(__xludf.DUMMYFUNCTION("if(isblank($A38),"""",iferror(sum(query('Saída'!$A$3:$G$505,""select E where B = '""&amp;$A38&amp;""' and A = '""&amp;D$24&amp;""'"")),0)+iferror(sum(query('Saída'!$J$3:$R$505,""select O where L = '""&amp;$A38&amp;""' and J = '""&amp;D$24&amp;""'"")),0))"),"")</f>
        <v/>
      </c>
      <c r="E38" s="83" t="str">
        <f>IFERROR(__xludf.DUMMYFUNCTION("if(isblank($A38),"""",iferror(sum(query('Saída'!$A$3:$G$505,""select E where B = '""&amp;$A38&amp;""' and A = '""&amp;E$24&amp;""'"")),0)+iferror(sum(query('Saída'!$J$3:$R$505,""select O where L = '""&amp;$A38&amp;""' and J = '""&amp;E$24&amp;""'"")),0))"),"")</f>
        <v/>
      </c>
      <c r="F38" s="83" t="str">
        <f>IFERROR(__xludf.DUMMYFUNCTION("if(isblank($A38),"""",iferror(sum(query('Saída'!$A$3:$G$505,""select E where B = '""&amp;$A38&amp;""' and A = '""&amp;F$24&amp;""'"")),0)+iferror(sum(query('Saída'!$J$3:$R$505,""select O where L = '""&amp;$A38&amp;""' and J = '""&amp;F$24&amp;""'"")),0))"),"")</f>
        <v/>
      </c>
      <c r="G38" s="83" t="str">
        <f>IFERROR(__xludf.DUMMYFUNCTION("if(isblank($A38),"""",iferror(sum(query('Saída'!$A$3:$G$505,""select E where B = '""&amp;$A38&amp;""' and A = '""&amp;G$24&amp;""'"")),0)+iferror(sum(query('Saída'!$J$3:$R$505,""select O where L = '""&amp;$A38&amp;""' and J = '""&amp;G$24&amp;""'"")),0))"),"")</f>
        <v/>
      </c>
      <c r="H38" s="83" t="str">
        <f>IFERROR(__xludf.DUMMYFUNCTION("if(isblank($A38),"""",iferror(sum(query('Saída'!$A$3:$G$505,""select E where B = '""&amp;$A38&amp;""' and A = '""&amp;H$24&amp;""'"")),0)+iferror(sum(query('Saída'!$J$3:$R$505,""select O where L = '""&amp;$A38&amp;""' and J = '""&amp;H$24&amp;""'"")),0))"),"")</f>
        <v/>
      </c>
      <c r="I38" s="83" t="str">
        <f>IFERROR(__xludf.DUMMYFUNCTION("if(isblank($A38),"""",iferror(sum(query('Saída'!$A$3:$G$505,""select E where B = '""&amp;$A38&amp;""' and A = '""&amp;I$24&amp;""'"")),0)+iferror(sum(query('Saída'!$J$3:$R$505,""select O where L = '""&amp;$A38&amp;""' and J = '""&amp;I$24&amp;""'"")),0))"),"")</f>
        <v/>
      </c>
      <c r="J38" s="83" t="str">
        <f>IFERROR(__xludf.DUMMYFUNCTION("if(isblank($A38),"""",iferror(sum(query('Saída'!$A$3:$G$505,""select E where B = '""&amp;$A38&amp;""' and A = '""&amp;J$24&amp;""'"")),0)+iferror(sum(query('Saída'!$J$3:$R$505,""select O where L = '""&amp;$A38&amp;""' and J = '""&amp;J$24&amp;""'"")),0))"),"")</f>
        <v/>
      </c>
      <c r="K38" s="83" t="str">
        <f>IFERROR(__xludf.DUMMYFUNCTION("if(isblank($A38),"""",iferror(sum(query('Saída'!$A$3:$G$505,""select E where B = '""&amp;$A38&amp;""' and A = '""&amp;K$24&amp;""'"")),0)+iferror(sum(query('Saída'!$J$3:$R$505,""select O where L = '""&amp;$A38&amp;""' and J = '""&amp;K$24&amp;""'"")),0))"),"")</f>
        <v/>
      </c>
      <c r="L38" s="83" t="str">
        <f>IFERROR(__xludf.DUMMYFUNCTION("if(isblank($A38),"""",iferror(sum(query('Saída'!$A$3:$G$505,""select E where B = '""&amp;$A38&amp;""' and A = '""&amp;L$24&amp;""'"")),0)+iferror(sum(query('Saída'!$J$3:$R$505,""select O where L = '""&amp;$A38&amp;""' and J = '""&amp;L$24&amp;""'"")),0))"),"")</f>
        <v/>
      </c>
      <c r="M38" s="83" t="str">
        <f>IFERROR(__xludf.DUMMYFUNCTION("if(isblank($A38),"""",iferror(sum(query('Saída'!$A$3:$G$505,""select E where B = '""&amp;$A38&amp;""' and A = '""&amp;M$24&amp;""'"")),0)+iferror(sum(query('Saída'!$J$3:$R$505,""select O where L = '""&amp;$A38&amp;""' and J = '""&amp;M$24&amp;""'"")),0))"),"")</f>
        <v/>
      </c>
      <c r="N38" s="84" t="str">
        <f>IFERROR(__xludf.DUMMYFUNCTION("if(isblank($A38),"""",iferror(sum(query('Saída'!$A$3:$G$505,""select E where B = '""&amp;$A38&amp;""' and A = '""&amp;N$24&amp;""'"")),0)+iferror(sum(query('Saída'!$J$3:$R$505,""select O where L = '""&amp;$A38&amp;""' and J = '""&amp;N$24&amp;""'"")),0))"),"")</f>
        <v/>
      </c>
    </row>
    <row r="39">
      <c r="A39" s="96"/>
      <c r="B39" s="99" t="str">
        <f>IFERROR(__xludf.DUMMYFUNCTION("if(isblank($A39),"""",iferror(sum(query('Saída'!$A$3:$G$505,""select E where B = '""&amp;$A39&amp;""' and A = '""&amp;B$24&amp;""'"")),0)+iferror(sum(query('Saída'!$J$3:$R$505,""select O where L = '""&amp;$A39&amp;""' and J = '""&amp;B$24&amp;""'"")),0))"),"")</f>
        <v/>
      </c>
      <c r="C39" s="83" t="str">
        <f>IFERROR(__xludf.DUMMYFUNCTION("if(isblank($A39),"""",iferror(sum(query('Saída'!$A$3:$G$505,""select E where B = '""&amp;$A39&amp;""' and A = '""&amp;C$24&amp;""'"")),0)+iferror(sum(query('Saída'!$J$3:$R$505,""select O where L = '""&amp;$A39&amp;""' and J = '""&amp;C$24&amp;""'"")),0))"),"")</f>
        <v/>
      </c>
      <c r="D39" s="83" t="str">
        <f>IFERROR(__xludf.DUMMYFUNCTION("if(isblank($A39),"""",iferror(sum(query('Saída'!$A$3:$G$505,""select E where B = '""&amp;$A39&amp;""' and A = '""&amp;D$24&amp;""'"")),0)+iferror(sum(query('Saída'!$J$3:$R$505,""select O where L = '""&amp;$A39&amp;""' and J = '""&amp;D$24&amp;""'"")),0))"),"")</f>
        <v/>
      </c>
      <c r="E39" s="83" t="str">
        <f>IFERROR(__xludf.DUMMYFUNCTION("if(isblank($A39),"""",iferror(sum(query('Saída'!$A$3:$G$505,""select E where B = '""&amp;$A39&amp;""' and A = '""&amp;E$24&amp;""'"")),0)+iferror(sum(query('Saída'!$J$3:$R$505,""select O where L = '""&amp;$A39&amp;""' and J = '""&amp;E$24&amp;""'"")),0))"),"")</f>
        <v/>
      </c>
      <c r="F39" s="83" t="str">
        <f>IFERROR(__xludf.DUMMYFUNCTION("if(isblank($A39),"""",iferror(sum(query('Saída'!$A$3:$G$505,""select E where B = '""&amp;$A39&amp;""' and A = '""&amp;F$24&amp;""'"")),0)+iferror(sum(query('Saída'!$J$3:$R$505,""select O where L = '""&amp;$A39&amp;""' and J = '""&amp;F$24&amp;""'"")),0))"),"")</f>
        <v/>
      </c>
      <c r="G39" s="83" t="str">
        <f>IFERROR(__xludf.DUMMYFUNCTION("if(isblank($A39),"""",iferror(sum(query('Saída'!$A$3:$G$505,""select E where B = '""&amp;$A39&amp;""' and A = '""&amp;G$24&amp;""'"")),0)+iferror(sum(query('Saída'!$J$3:$R$505,""select O where L = '""&amp;$A39&amp;""' and J = '""&amp;G$24&amp;""'"")),0))"),"")</f>
        <v/>
      </c>
      <c r="H39" s="83" t="str">
        <f>IFERROR(__xludf.DUMMYFUNCTION("if(isblank($A39),"""",iferror(sum(query('Saída'!$A$3:$G$505,""select E where B = '""&amp;$A39&amp;""' and A = '""&amp;H$24&amp;""'"")),0)+iferror(sum(query('Saída'!$J$3:$R$505,""select O where L = '""&amp;$A39&amp;""' and J = '""&amp;H$24&amp;""'"")),0))"),"")</f>
        <v/>
      </c>
      <c r="I39" s="83" t="str">
        <f>IFERROR(__xludf.DUMMYFUNCTION("if(isblank($A39),"""",iferror(sum(query('Saída'!$A$3:$G$505,""select E where B = '""&amp;$A39&amp;""' and A = '""&amp;I$24&amp;""'"")),0)+iferror(sum(query('Saída'!$J$3:$R$505,""select O where L = '""&amp;$A39&amp;""' and J = '""&amp;I$24&amp;""'"")),0))"),"")</f>
        <v/>
      </c>
      <c r="J39" s="83" t="str">
        <f>IFERROR(__xludf.DUMMYFUNCTION("if(isblank($A39),"""",iferror(sum(query('Saída'!$A$3:$G$505,""select E where B = '""&amp;$A39&amp;""' and A = '""&amp;J$24&amp;""'"")),0)+iferror(sum(query('Saída'!$J$3:$R$505,""select O where L = '""&amp;$A39&amp;""' and J = '""&amp;J$24&amp;""'"")),0))"),"")</f>
        <v/>
      </c>
      <c r="K39" s="83" t="str">
        <f>IFERROR(__xludf.DUMMYFUNCTION("if(isblank($A39),"""",iferror(sum(query('Saída'!$A$3:$G$505,""select E where B = '""&amp;$A39&amp;""' and A = '""&amp;K$24&amp;""'"")),0)+iferror(sum(query('Saída'!$J$3:$R$505,""select O where L = '""&amp;$A39&amp;""' and J = '""&amp;K$24&amp;""'"")),0))"),"")</f>
        <v/>
      </c>
      <c r="L39" s="83" t="str">
        <f>IFERROR(__xludf.DUMMYFUNCTION("if(isblank($A39),"""",iferror(sum(query('Saída'!$A$3:$G$505,""select E where B = '""&amp;$A39&amp;""' and A = '""&amp;L$24&amp;""'"")),0)+iferror(sum(query('Saída'!$J$3:$R$505,""select O where L = '""&amp;$A39&amp;""' and J = '""&amp;L$24&amp;""'"")),0))"),"")</f>
        <v/>
      </c>
      <c r="M39" s="83" t="str">
        <f>IFERROR(__xludf.DUMMYFUNCTION("if(isblank($A39),"""",iferror(sum(query('Saída'!$A$3:$G$505,""select E where B = '""&amp;$A39&amp;""' and A = '""&amp;M$24&amp;""'"")),0)+iferror(sum(query('Saída'!$J$3:$R$505,""select O where L = '""&amp;$A39&amp;""' and J = '""&amp;M$24&amp;""'"")),0))"),"")</f>
        <v/>
      </c>
      <c r="N39" s="84" t="str">
        <f>IFERROR(__xludf.DUMMYFUNCTION("if(isblank($A39),"""",iferror(sum(query('Saída'!$A$3:$G$505,""select E where B = '""&amp;$A39&amp;""' and A = '""&amp;N$24&amp;""'"")),0)+iferror(sum(query('Saída'!$J$3:$R$505,""select O where L = '""&amp;$A39&amp;""' and J = '""&amp;N$24&amp;""'"")),0))"),"")</f>
        <v/>
      </c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>
      <c r="A40" s="96"/>
      <c r="B40" s="99" t="str">
        <f>IFERROR(__xludf.DUMMYFUNCTION("if(isblank($A40),"""",iferror(sum(query('Saída'!$A$3:$G$505,""select E where B = '""&amp;$A40&amp;""' and A = '""&amp;B$24&amp;""'"")),0)+iferror(sum(query('Saída'!$J$3:$R$505,""select O where L = '""&amp;$A40&amp;""' and J = '""&amp;B$24&amp;""'"")),0))"),"")</f>
        <v/>
      </c>
      <c r="C40" s="83" t="str">
        <f>IFERROR(__xludf.DUMMYFUNCTION("if(isblank($A40),"""",iferror(sum(query('Saída'!$A$3:$G$505,""select E where B = '""&amp;$A40&amp;""' and A = '""&amp;C$24&amp;""'"")),0)+iferror(sum(query('Saída'!$J$3:$R$505,""select O where L = '""&amp;$A40&amp;""' and J = '""&amp;C$24&amp;""'"")),0))"),"")</f>
        <v/>
      </c>
      <c r="D40" s="83" t="str">
        <f>IFERROR(__xludf.DUMMYFUNCTION("if(isblank($A40),"""",iferror(sum(query('Saída'!$A$3:$G$505,""select E where B = '""&amp;$A40&amp;""' and A = '""&amp;D$24&amp;""'"")),0)+iferror(sum(query('Saída'!$J$3:$R$505,""select O where L = '""&amp;$A40&amp;""' and J = '""&amp;D$24&amp;""'"")),0))"),"")</f>
        <v/>
      </c>
      <c r="E40" s="83" t="str">
        <f>IFERROR(__xludf.DUMMYFUNCTION("if(isblank($A40),"""",iferror(sum(query('Saída'!$A$3:$G$505,""select E where B = '""&amp;$A40&amp;""' and A = '""&amp;E$24&amp;""'"")),0)+iferror(sum(query('Saída'!$J$3:$R$505,""select O where L = '""&amp;$A40&amp;""' and J = '""&amp;E$24&amp;""'"")),0))"),"")</f>
        <v/>
      </c>
      <c r="F40" s="83" t="str">
        <f>IFERROR(__xludf.DUMMYFUNCTION("if(isblank($A40),"""",iferror(sum(query('Saída'!$A$3:$G$505,""select E where B = '""&amp;$A40&amp;""' and A = '""&amp;F$24&amp;""'"")),0)+iferror(sum(query('Saída'!$J$3:$R$505,""select O where L = '""&amp;$A40&amp;""' and J = '""&amp;F$24&amp;""'"")),0))"),"")</f>
        <v/>
      </c>
      <c r="G40" s="83" t="str">
        <f>IFERROR(__xludf.DUMMYFUNCTION("if(isblank($A40),"""",iferror(sum(query('Saída'!$A$3:$G$505,""select E where B = '""&amp;$A40&amp;""' and A = '""&amp;G$24&amp;""'"")),0)+iferror(sum(query('Saída'!$J$3:$R$505,""select O where L = '""&amp;$A40&amp;""' and J = '""&amp;G$24&amp;""'"")),0))"),"")</f>
        <v/>
      </c>
      <c r="H40" s="83" t="str">
        <f>IFERROR(__xludf.DUMMYFUNCTION("if(isblank($A40),"""",iferror(sum(query('Saída'!$A$3:$G$505,""select E where B = '""&amp;$A40&amp;""' and A = '""&amp;H$24&amp;""'"")),0)+iferror(sum(query('Saída'!$J$3:$R$505,""select O where L = '""&amp;$A40&amp;""' and J = '""&amp;H$24&amp;""'"")),0))"),"")</f>
        <v/>
      </c>
      <c r="I40" s="83" t="str">
        <f>IFERROR(__xludf.DUMMYFUNCTION("if(isblank($A40),"""",iferror(sum(query('Saída'!$A$3:$G$505,""select E where B = '""&amp;$A40&amp;""' and A = '""&amp;I$24&amp;""'"")),0)+iferror(sum(query('Saída'!$J$3:$R$505,""select O where L = '""&amp;$A40&amp;""' and J = '""&amp;I$24&amp;""'"")),0))"),"")</f>
        <v/>
      </c>
      <c r="J40" s="83" t="str">
        <f>IFERROR(__xludf.DUMMYFUNCTION("if(isblank($A40),"""",iferror(sum(query('Saída'!$A$3:$G$505,""select E where B = '""&amp;$A40&amp;""' and A = '""&amp;J$24&amp;""'"")),0)+iferror(sum(query('Saída'!$J$3:$R$505,""select O where L = '""&amp;$A40&amp;""' and J = '""&amp;J$24&amp;""'"")),0))"),"")</f>
        <v/>
      </c>
      <c r="K40" s="83" t="str">
        <f>IFERROR(__xludf.DUMMYFUNCTION("if(isblank($A40),"""",iferror(sum(query('Saída'!$A$3:$G$505,""select E where B = '""&amp;$A40&amp;""' and A = '""&amp;K$24&amp;""'"")),0)+iferror(sum(query('Saída'!$J$3:$R$505,""select O where L = '""&amp;$A40&amp;""' and J = '""&amp;K$24&amp;""'"")),0))"),"")</f>
        <v/>
      </c>
      <c r="L40" s="83" t="str">
        <f>IFERROR(__xludf.DUMMYFUNCTION("if(isblank($A40),"""",iferror(sum(query('Saída'!$A$3:$G$505,""select E where B = '""&amp;$A40&amp;""' and A = '""&amp;L$24&amp;""'"")),0)+iferror(sum(query('Saída'!$J$3:$R$505,""select O where L = '""&amp;$A40&amp;""' and J = '""&amp;L$24&amp;""'"")),0))"),"")</f>
        <v/>
      </c>
      <c r="M40" s="83" t="str">
        <f>IFERROR(__xludf.DUMMYFUNCTION("if(isblank($A40),"""",iferror(sum(query('Saída'!$A$3:$G$505,""select E where B = '""&amp;$A40&amp;""' and A = '""&amp;M$24&amp;""'"")),0)+iferror(sum(query('Saída'!$J$3:$R$505,""select O where L = '""&amp;$A40&amp;""' and J = '""&amp;M$24&amp;""'"")),0))"),"")</f>
        <v/>
      </c>
      <c r="N40" s="84" t="str">
        <f>IFERROR(__xludf.DUMMYFUNCTION("if(isblank($A40),"""",iferror(sum(query('Saída'!$A$3:$G$505,""select E where B = '""&amp;$A40&amp;""' and A = '""&amp;N$24&amp;""'"")),0)+iferror(sum(query('Saída'!$J$3:$R$505,""select O where L = '""&amp;$A40&amp;""' and J = '""&amp;N$24&amp;""'"")),0))"),"")</f>
        <v/>
      </c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</row>
    <row r="41">
      <c r="A41" s="101"/>
      <c r="B41" s="102" t="str">
        <f>IFERROR(__xludf.DUMMYFUNCTION("if(isblank($A41),"""",iferror(sum(query('Saída'!$A$3:$G$505,""select E where B = '""&amp;$A41&amp;""' and A = '""&amp;B$24&amp;""'"")),0)+iferror(sum(query('Saída'!$J$3:$R$505,""select O where L = '""&amp;$A41&amp;""' and J = '""&amp;B$24&amp;""'"")),0))"),"")</f>
        <v/>
      </c>
      <c r="C41" s="103" t="str">
        <f>IFERROR(__xludf.DUMMYFUNCTION("if(isblank($A41),"""",iferror(sum(query('Saída'!$A$3:$G$505,""select E where B = '""&amp;$A41&amp;""' and A = '""&amp;C$24&amp;""'"")),0)+iferror(sum(query('Saída'!$J$3:$R$505,""select O where L = '""&amp;$A41&amp;""' and J = '""&amp;C$24&amp;""'"")),0))"),"")</f>
        <v/>
      </c>
      <c r="D41" s="103" t="str">
        <f>IFERROR(__xludf.DUMMYFUNCTION("if(isblank($A41),"""",iferror(sum(query('Saída'!$A$3:$G$505,""select E where B = '""&amp;$A41&amp;""' and A = '""&amp;D$24&amp;""'"")),0)+iferror(sum(query('Saída'!$J$3:$R$505,""select O where L = '""&amp;$A41&amp;""' and J = '""&amp;D$24&amp;""'"")),0))"),"")</f>
        <v/>
      </c>
      <c r="E41" s="103" t="str">
        <f>IFERROR(__xludf.DUMMYFUNCTION("if(isblank($A41),"""",iferror(sum(query('Saída'!$A$3:$G$505,""select E where B = '""&amp;$A41&amp;""' and A = '""&amp;E$24&amp;""'"")),0)+iferror(sum(query('Saída'!$J$3:$R$505,""select O where L = '""&amp;$A41&amp;""' and J = '""&amp;E$24&amp;""'"")),0))"),"")</f>
        <v/>
      </c>
      <c r="F41" s="103" t="str">
        <f>IFERROR(__xludf.DUMMYFUNCTION("if(isblank($A41),"""",iferror(sum(query('Saída'!$A$3:$G$505,""select E where B = '""&amp;$A41&amp;""' and A = '""&amp;F$24&amp;""'"")),0)+iferror(sum(query('Saída'!$J$3:$R$505,""select O where L = '""&amp;$A41&amp;""' and J = '""&amp;F$24&amp;""'"")),0))"),"")</f>
        <v/>
      </c>
      <c r="G41" s="103" t="str">
        <f>IFERROR(__xludf.DUMMYFUNCTION("if(isblank($A41),"""",iferror(sum(query('Saída'!$A$3:$G$505,""select E where B = '""&amp;$A41&amp;""' and A = '""&amp;G$24&amp;""'"")),0)+iferror(sum(query('Saída'!$J$3:$R$505,""select O where L = '""&amp;$A41&amp;""' and J = '""&amp;G$24&amp;""'"")),0))"),"")</f>
        <v/>
      </c>
      <c r="H41" s="103" t="str">
        <f>IFERROR(__xludf.DUMMYFUNCTION("if(isblank($A41),"""",iferror(sum(query('Saída'!$A$3:$G$505,""select E where B = '""&amp;$A41&amp;""' and A = '""&amp;H$24&amp;""'"")),0)+iferror(sum(query('Saída'!$J$3:$R$505,""select O where L = '""&amp;$A41&amp;""' and J = '""&amp;H$24&amp;""'"")),0))"),"")</f>
        <v/>
      </c>
      <c r="I41" s="103" t="str">
        <f>IFERROR(__xludf.DUMMYFUNCTION("if(isblank($A41),"""",iferror(sum(query('Saída'!$A$3:$G$505,""select E where B = '""&amp;$A41&amp;""' and A = '""&amp;I$24&amp;""'"")),0)+iferror(sum(query('Saída'!$J$3:$R$505,""select O where L = '""&amp;$A41&amp;""' and J = '""&amp;I$24&amp;""'"")),0))"),"")</f>
        <v/>
      </c>
      <c r="J41" s="103" t="str">
        <f>IFERROR(__xludf.DUMMYFUNCTION("if(isblank($A41),"""",iferror(sum(query('Saída'!$A$3:$G$505,""select E where B = '""&amp;$A41&amp;""' and A = '""&amp;J$24&amp;""'"")),0)+iferror(sum(query('Saída'!$J$3:$R$505,""select O where L = '""&amp;$A41&amp;""' and J = '""&amp;J$24&amp;""'"")),0))"),"")</f>
        <v/>
      </c>
      <c r="K41" s="103" t="str">
        <f>IFERROR(__xludf.DUMMYFUNCTION("if(isblank($A41),"""",iferror(sum(query('Saída'!$A$3:$G$505,""select E where B = '""&amp;$A41&amp;""' and A = '""&amp;K$24&amp;""'"")),0)+iferror(sum(query('Saída'!$J$3:$R$505,""select O where L = '""&amp;$A41&amp;""' and J = '""&amp;K$24&amp;""'"")),0))"),"")</f>
        <v/>
      </c>
      <c r="L41" s="103" t="str">
        <f>IFERROR(__xludf.DUMMYFUNCTION("if(isblank($A41),"""",iferror(sum(query('Saída'!$A$3:$G$505,""select E where B = '""&amp;$A41&amp;""' and A = '""&amp;L$24&amp;""'"")),0)+iferror(sum(query('Saída'!$J$3:$R$505,""select O where L = '""&amp;$A41&amp;""' and J = '""&amp;L$24&amp;""'"")),0))"),"")</f>
        <v/>
      </c>
      <c r="M41" s="103" t="str">
        <f>IFERROR(__xludf.DUMMYFUNCTION("if(isblank($A41),"""",iferror(sum(query('Saída'!$A$3:$G$505,""select E where B = '""&amp;$A41&amp;""' and A = '""&amp;M$24&amp;""'"")),0)+iferror(sum(query('Saída'!$J$3:$R$505,""select O where L = '""&amp;$A41&amp;""' and J = '""&amp;M$24&amp;""'"")),0))"),"")</f>
        <v/>
      </c>
      <c r="N41" s="104" t="str">
        <f>IFERROR(__xludf.DUMMYFUNCTION("if(isblank($A41),"""",iferror(sum(query('Saída'!$A$3:$G$505,""select E where B = '""&amp;$A41&amp;""' and A = '""&amp;N$24&amp;""'"")),0)+iferror(sum(query('Saída'!$J$3:$R$505,""select O where L = '""&amp;$A41&amp;""' and J = '""&amp;N$24&amp;""'"")),0))"),"")</f>
        <v/>
      </c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</row>
    <row r="42">
      <c r="A42" s="105" t="s">
        <v>69</v>
      </c>
      <c r="B42" s="106">
        <f t="shared" ref="B42:N42" si="4">sum(B25:B41)</f>
        <v>4898.22</v>
      </c>
      <c r="C42" s="106">
        <f t="shared" si="4"/>
        <v>2512.21</v>
      </c>
      <c r="D42" s="106">
        <f t="shared" si="4"/>
        <v>2184.36</v>
      </c>
      <c r="E42" s="106">
        <f t="shared" si="4"/>
        <v>3862.34</v>
      </c>
      <c r="F42" s="106">
        <f t="shared" si="4"/>
        <v>1410.14</v>
      </c>
      <c r="G42" s="106">
        <f t="shared" si="4"/>
        <v>2145.47</v>
      </c>
      <c r="H42" s="106">
        <f t="shared" si="4"/>
        <v>1811.79</v>
      </c>
      <c r="I42" s="106">
        <f t="shared" si="4"/>
        <v>2312.66</v>
      </c>
      <c r="J42" s="106">
        <f t="shared" si="4"/>
        <v>2959.42</v>
      </c>
      <c r="K42" s="106">
        <f t="shared" si="4"/>
        <v>2553.68</v>
      </c>
      <c r="L42" s="106">
        <f t="shared" si="4"/>
        <v>3576.32</v>
      </c>
      <c r="M42" s="106">
        <f t="shared" si="4"/>
        <v>1910.03</v>
      </c>
      <c r="N42" s="106">
        <f t="shared" si="4"/>
        <v>32136.64</v>
      </c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</row>
    <row r="43">
      <c r="A43" s="91"/>
      <c r="B43" s="107"/>
      <c r="C43" s="108"/>
      <c r="D43" s="108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</row>
    <row r="44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81"/>
      <c r="Q44" s="81"/>
      <c r="R44" s="81"/>
      <c r="S44" s="81"/>
      <c r="T44" s="81"/>
      <c r="U44" s="81"/>
      <c r="V44" s="81"/>
      <c r="W44" s="81"/>
      <c r="X44" s="81"/>
      <c r="Y44" s="81"/>
    </row>
    <row r="45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81"/>
      <c r="Q45" s="81"/>
      <c r="R45" s="81"/>
      <c r="S45" s="81"/>
      <c r="T45" s="81"/>
      <c r="U45" s="81"/>
      <c r="V45" s="81"/>
      <c r="W45" s="81"/>
      <c r="X45" s="81"/>
      <c r="Y45" s="81"/>
    </row>
    <row r="46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81"/>
      <c r="Q46" s="81"/>
      <c r="R46" s="81"/>
      <c r="S46" s="81"/>
      <c r="T46" s="81"/>
      <c r="U46" s="81"/>
      <c r="V46" s="81"/>
      <c r="W46" s="81"/>
      <c r="X46" s="81"/>
      <c r="Y46" s="81"/>
    </row>
    <row r="47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</row>
    <row r="48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77"/>
      <c r="Q48" s="77"/>
      <c r="R48" s="77"/>
      <c r="S48" s="77"/>
      <c r="T48" s="77"/>
      <c r="U48" s="77"/>
      <c r="V48" s="77"/>
      <c r="W48" s="77"/>
      <c r="X48" s="77"/>
      <c r="Y48" s="77"/>
    </row>
    <row r="49">
      <c r="A49" s="91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</row>
    <row r="50">
      <c r="A50" s="91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</row>
    <row r="51">
      <c r="A51" s="91"/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</row>
    <row r="52">
      <c r="A52" s="91"/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</row>
    <row r="53">
      <c r="A53" s="91"/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</row>
    <row r="54">
      <c r="A54" s="77"/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</row>
    <row r="55">
      <c r="A55" s="77"/>
      <c r="B55" s="109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</row>
    <row r="56">
      <c r="A56" s="77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</row>
    <row r="57">
      <c r="A57" s="77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>
      <c r="A58" s="77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</row>
    <row r="59">
      <c r="A59" s="77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</row>
    <row r="60">
      <c r="A60" s="91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</row>
    <row r="61">
      <c r="A61" s="91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</row>
    <row r="62">
      <c r="A62" s="91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</row>
    <row r="63">
      <c r="A63" s="91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</row>
    <row r="64">
      <c r="A64" s="91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</row>
    <row r="65">
      <c r="A65" s="9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</row>
    <row r="66">
      <c r="A66" s="91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</row>
    <row r="67">
      <c r="A67" s="91"/>
      <c r="B67" s="77"/>
      <c r="C67" s="77"/>
      <c r="D67" s="87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</row>
    <row r="68">
      <c r="A68" s="91"/>
    </row>
    <row r="69">
      <c r="A69" s="91"/>
      <c r="B69" s="77"/>
      <c r="C69" s="77"/>
      <c r="D69" s="77"/>
      <c r="E69" s="8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</row>
    <row r="70">
      <c r="A70" s="91"/>
      <c r="B70" s="77"/>
      <c r="C70" s="77"/>
      <c r="D70" s="87"/>
      <c r="E70" s="92"/>
      <c r="F70" s="92"/>
      <c r="G70" s="92"/>
      <c r="H70" s="92"/>
      <c r="I70" s="92"/>
      <c r="J70" s="92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</row>
    <row r="71">
      <c r="A71" s="91"/>
      <c r="B71" s="107"/>
      <c r="C71" s="108"/>
      <c r="D71" s="110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</row>
    <row r="72">
      <c r="A72" s="91"/>
      <c r="B72" s="107"/>
      <c r="C72" s="108"/>
      <c r="D72" s="108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</row>
    <row r="73">
      <c r="A73" s="91"/>
      <c r="B73" s="107"/>
      <c r="C73" s="108"/>
      <c r="D73" s="108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</row>
    <row r="74">
      <c r="A74" s="91"/>
      <c r="B74" s="107"/>
      <c r="C74" s="108"/>
      <c r="D74" s="108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</row>
    <row r="75">
      <c r="A75" s="91"/>
      <c r="B75" s="107"/>
      <c r="C75" s="108"/>
      <c r="D75" s="108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</row>
    <row r="76">
      <c r="A76" s="91"/>
      <c r="B76" s="77"/>
      <c r="C76" s="77"/>
      <c r="D76" s="87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</row>
    <row r="77">
      <c r="A77" s="91"/>
    </row>
    <row r="78">
      <c r="A78" s="91"/>
      <c r="B78" s="77"/>
      <c r="C78" s="77"/>
      <c r="D78" s="77"/>
      <c r="E78" s="8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</row>
    <row r="79">
      <c r="A79" s="91"/>
      <c r="B79" s="77"/>
      <c r="C79" s="77"/>
      <c r="D79" s="87"/>
      <c r="E79" s="92"/>
      <c r="F79" s="92"/>
      <c r="G79" s="92"/>
      <c r="H79" s="92"/>
      <c r="I79" s="92"/>
      <c r="J79" s="92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</row>
    <row r="80">
      <c r="A80" s="91"/>
      <c r="B80" s="107"/>
      <c r="C80" s="108"/>
      <c r="D80" s="110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</row>
    <row r="81">
      <c r="A81" s="91"/>
      <c r="B81" s="107"/>
      <c r="C81" s="108"/>
      <c r="D81" s="108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</row>
    <row r="82">
      <c r="A82" s="91"/>
      <c r="B82" s="107"/>
      <c r="C82" s="108"/>
      <c r="D82" s="108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</row>
    <row r="83">
      <c r="A83" s="91"/>
      <c r="B83" s="107"/>
      <c r="C83" s="108"/>
      <c r="D83" s="108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</row>
    <row r="84">
      <c r="A84" s="91"/>
      <c r="B84" s="107"/>
      <c r="C84" s="108"/>
      <c r="D84" s="108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</row>
    <row r="85">
      <c r="A85" s="9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</row>
    <row r="86">
      <c r="A86" s="91"/>
      <c r="B86" s="77"/>
      <c r="C86" s="77"/>
      <c r="D86" s="77"/>
      <c r="E86" s="8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</row>
    <row r="87">
      <c r="A87" s="91"/>
      <c r="B87" s="77"/>
      <c r="C87" s="77"/>
      <c r="D87" s="87"/>
      <c r="E87" s="92"/>
      <c r="F87" s="92"/>
      <c r="G87" s="92"/>
      <c r="H87" s="92"/>
      <c r="I87" s="92"/>
      <c r="J87" s="92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</row>
    <row r="88">
      <c r="A88" s="91"/>
      <c r="B88" s="107"/>
      <c r="C88" s="108"/>
      <c r="D88" s="110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</row>
    <row r="89">
      <c r="A89" s="91"/>
      <c r="B89" s="107"/>
      <c r="C89" s="108"/>
      <c r="D89" s="108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</row>
    <row r="90">
      <c r="A90" s="91"/>
      <c r="B90" s="107"/>
      <c r="C90" s="108"/>
      <c r="D90" s="108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</row>
    <row r="91">
      <c r="A91" s="91"/>
      <c r="B91" s="107"/>
      <c r="C91" s="108"/>
      <c r="D91" s="108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</row>
    <row r="92">
      <c r="A92" s="91"/>
      <c r="B92" s="107"/>
      <c r="C92" s="108"/>
      <c r="D92" s="108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</row>
    <row r="93">
      <c r="A93" s="91"/>
      <c r="B93" s="77"/>
      <c r="C93" s="77"/>
      <c r="D93" s="87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</row>
    <row r="94">
      <c r="A94" s="91"/>
    </row>
    <row r="95">
      <c r="A95" s="91"/>
      <c r="B95" s="77"/>
      <c r="C95" s="77"/>
      <c r="D95" s="77"/>
      <c r="E95" s="8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</row>
    <row r="96">
      <c r="A96" s="91"/>
      <c r="B96" s="77"/>
      <c r="C96" s="77"/>
      <c r="D96" s="87"/>
      <c r="E96" s="92"/>
      <c r="F96" s="92"/>
      <c r="G96" s="92"/>
      <c r="H96" s="92"/>
      <c r="I96" s="92"/>
      <c r="J96" s="92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</row>
    <row r="97">
      <c r="A97" s="91"/>
      <c r="B97" s="107"/>
      <c r="C97" s="108"/>
      <c r="D97" s="110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</row>
    <row r="98">
      <c r="A98" s="91"/>
      <c r="B98" s="107"/>
      <c r="C98" s="108"/>
      <c r="D98" s="108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</row>
    <row r="99">
      <c r="A99" s="91"/>
      <c r="B99" s="107"/>
      <c r="C99" s="108"/>
      <c r="D99" s="108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</row>
    <row r="100">
      <c r="A100" s="91"/>
      <c r="B100" s="107"/>
      <c r="C100" s="108"/>
      <c r="D100" s="108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</row>
    <row r="101">
      <c r="A101" s="91"/>
      <c r="B101" s="107"/>
      <c r="C101" s="108"/>
      <c r="D101" s="108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</row>
    <row r="102">
      <c r="A102" s="91"/>
      <c r="B102" s="77"/>
      <c r="C102" s="77"/>
      <c r="D102" s="87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</row>
    <row r="103">
      <c r="A103" s="91"/>
    </row>
    <row r="104">
      <c r="A104" s="91"/>
      <c r="B104" s="77"/>
      <c r="C104" s="77"/>
      <c r="D104" s="77"/>
      <c r="E104" s="8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</row>
    <row r="105">
      <c r="A105" s="91"/>
      <c r="B105" s="77"/>
      <c r="C105" s="77"/>
      <c r="D105" s="87"/>
      <c r="E105" s="92"/>
      <c r="F105" s="92"/>
      <c r="G105" s="92"/>
      <c r="H105" s="92"/>
      <c r="I105" s="92"/>
      <c r="J105" s="92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</row>
    <row r="106">
      <c r="A106" s="91"/>
      <c r="B106" s="107"/>
      <c r="C106" s="108"/>
      <c r="D106" s="110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</row>
    <row r="107">
      <c r="A107" s="91"/>
      <c r="B107" s="107"/>
      <c r="C107" s="108"/>
      <c r="D107" s="108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</row>
    <row r="108">
      <c r="A108" s="91"/>
      <c r="B108" s="107"/>
      <c r="C108" s="108"/>
      <c r="D108" s="108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</row>
    <row r="109">
      <c r="A109" s="91"/>
      <c r="B109" s="107"/>
      <c r="C109" s="108"/>
      <c r="D109" s="108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</row>
    <row r="110">
      <c r="A110" s="91"/>
      <c r="B110" s="107"/>
      <c r="C110" s="108"/>
      <c r="D110" s="108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</row>
    <row r="111">
      <c r="A111" s="77"/>
      <c r="B111" s="77"/>
      <c r="C111" s="77"/>
      <c r="D111" s="87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</row>
    <row r="113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</row>
    <row r="114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</row>
    <row r="115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</row>
    <row r="116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</row>
    <row r="117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</row>
    <row r="118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</row>
    <row r="119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</row>
    <row r="120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</row>
    <row r="121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</row>
    <row r="12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</row>
    <row r="123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</row>
    <row r="124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</row>
    <row r="125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</row>
    <row r="126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</row>
    <row r="127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</row>
    <row r="128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</row>
    <row r="129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</row>
    <row r="130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</row>
    <row r="131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</row>
    <row r="1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</row>
    <row r="133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</row>
    <row r="134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</row>
    <row r="135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</row>
    <row r="136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</row>
    <row r="137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</row>
    <row r="138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</row>
    <row r="139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</row>
    <row r="140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</row>
    <row r="141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</row>
    <row r="14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</row>
    <row r="143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</row>
    <row r="144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</row>
    <row r="145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</row>
    <row r="146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</row>
    <row r="147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</row>
    <row r="148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</row>
    <row r="149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</row>
    <row r="150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</row>
    <row r="151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</row>
    <row r="15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</row>
    <row r="153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</row>
    <row r="154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</row>
    <row r="155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</row>
    <row r="156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</row>
    <row r="157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</row>
    <row r="158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</row>
    <row r="159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</row>
    <row r="160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</row>
    <row r="161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</row>
    <row r="16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</row>
    <row r="163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</row>
  </sheetData>
  <mergeCells count="5">
    <mergeCell ref="A1:N1"/>
    <mergeCell ref="A2:N2"/>
    <mergeCell ref="A23:N23"/>
    <mergeCell ref="A164:A168"/>
    <mergeCell ref="A171:A172"/>
  </mergeCells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1" t="s">
        <v>3</v>
      </c>
      <c r="B1" s="112"/>
      <c r="C1" s="113"/>
      <c r="D1" s="114"/>
      <c r="H1" s="115"/>
      <c r="I1" s="116"/>
      <c r="J1" s="116"/>
      <c r="N1" s="115"/>
      <c r="O1" s="115"/>
      <c r="P1" s="115"/>
      <c r="Q1" s="111"/>
      <c r="R1" s="115"/>
      <c r="S1" s="115"/>
      <c r="T1" s="115"/>
      <c r="U1" s="115"/>
      <c r="V1" s="115"/>
      <c r="W1" s="115"/>
      <c r="X1" s="115"/>
      <c r="Y1" s="115"/>
      <c r="Z1" s="115"/>
    </row>
    <row r="2">
      <c r="A2" s="115"/>
      <c r="B2" s="117"/>
      <c r="C2" s="118"/>
      <c r="D2" s="119"/>
      <c r="H2" s="115"/>
      <c r="O2" s="120"/>
      <c r="P2" s="115"/>
      <c r="Q2" s="115"/>
      <c r="R2" s="115"/>
      <c r="S2" s="115"/>
      <c r="T2" s="115"/>
      <c r="U2" s="115"/>
      <c r="V2" s="120"/>
      <c r="W2" s="115"/>
      <c r="X2" s="115"/>
      <c r="Y2" s="115"/>
      <c r="Z2" s="115"/>
    </row>
    <row r="3">
      <c r="A3" s="111" t="s">
        <v>71</v>
      </c>
      <c r="B3" s="121"/>
      <c r="C3" s="122"/>
      <c r="D3" s="123"/>
      <c r="H3" s="115"/>
      <c r="O3" s="120"/>
      <c r="P3" s="124"/>
      <c r="Q3" s="124"/>
      <c r="R3" s="120"/>
      <c r="S3" s="120"/>
      <c r="T3" s="120"/>
      <c r="U3" s="115"/>
      <c r="V3" s="120"/>
      <c r="W3" s="115"/>
      <c r="X3" s="115"/>
      <c r="Y3" s="115"/>
      <c r="Z3" s="115"/>
    </row>
    <row r="4">
      <c r="A4" s="111" t="s">
        <v>72</v>
      </c>
      <c r="B4" s="121"/>
      <c r="C4" s="122"/>
      <c r="D4" s="123"/>
      <c r="H4" s="115"/>
      <c r="O4" s="120"/>
      <c r="P4" s="120"/>
      <c r="Q4" s="120"/>
      <c r="R4" s="120"/>
      <c r="S4" s="120"/>
      <c r="T4" s="120"/>
      <c r="U4" s="115"/>
      <c r="V4" s="120"/>
      <c r="W4" s="115"/>
      <c r="X4" s="115"/>
      <c r="Y4" s="115"/>
      <c r="Z4" s="115"/>
    </row>
    <row r="5">
      <c r="A5" s="125" t="s">
        <v>73</v>
      </c>
      <c r="B5" s="125" t="s">
        <v>74</v>
      </c>
      <c r="C5" s="125"/>
      <c r="O5" s="120"/>
      <c r="P5" s="120"/>
      <c r="Q5" s="120"/>
      <c r="R5" s="120"/>
      <c r="S5" s="120"/>
      <c r="T5" s="120"/>
      <c r="U5" s="115"/>
      <c r="V5" s="120"/>
      <c r="W5" s="115"/>
      <c r="X5" s="115"/>
      <c r="Y5" s="115"/>
      <c r="Z5" s="115"/>
    </row>
    <row r="6">
      <c r="A6" s="125" t="s">
        <v>75</v>
      </c>
      <c r="B6" s="125" t="s">
        <v>76</v>
      </c>
      <c r="C6" s="125"/>
      <c r="O6" s="120"/>
      <c r="P6" s="120"/>
      <c r="Q6" s="120"/>
      <c r="R6" s="120"/>
      <c r="S6" s="120"/>
      <c r="T6" s="120"/>
      <c r="U6" s="115"/>
      <c r="V6" s="120"/>
      <c r="W6" s="115"/>
      <c r="X6" s="115"/>
      <c r="Y6" s="115"/>
      <c r="Z6" s="115"/>
    </row>
    <row r="7">
      <c r="A7" s="31" t="s">
        <v>77</v>
      </c>
      <c r="B7" s="31" t="s">
        <v>78</v>
      </c>
      <c r="C7" s="125"/>
      <c r="O7" s="120"/>
      <c r="P7" s="120"/>
      <c r="Q7" s="120"/>
      <c r="R7" s="120"/>
      <c r="S7" s="120"/>
      <c r="T7" s="120"/>
      <c r="U7" s="115"/>
      <c r="V7" s="120"/>
      <c r="W7" s="115"/>
      <c r="X7" s="115"/>
      <c r="Y7" s="115"/>
      <c r="Z7" s="115"/>
    </row>
    <row r="8">
      <c r="B8" s="125"/>
      <c r="C8" s="125"/>
      <c r="O8" s="120"/>
      <c r="P8" s="120"/>
      <c r="Q8" s="120"/>
      <c r="R8" s="120"/>
      <c r="S8" s="120"/>
      <c r="T8" s="120"/>
      <c r="U8" s="115"/>
      <c r="V8" s="120"/>
      <c r="W8" s="115"/>
      <c r="X8" s="115"/>
      <c r="Y8" s="115"/>
      <c r="Z8" s="115"/>
    </row>
    <row r="9">
      <c r="B9" s="125"/>
      <c r="C9" s="125"/>
      <c r="O9" s="120"/>
      <c r="P9" s="120"/>
      <c r="Q9" s="120"/>
      <c r="R9" s="120"/>
      <c r="S9" s="120"/>
      <c r="T9" s="120"/>
      <c r="U9" s="115"/>
      <c r="V9" s="120"/>
      <c r="W9" s="115"/>
      <c r="X9" s="115"/>
      <c r="Y9" s="115"/>
      <c r="Z9" s="115"/>
    </row>
    <row r="10">
      <c r="B10" s="125"/>
      <c r="C10" s="125"/>
      <c r="O10" s="123"/>
      <c r="P10" s="123"/>
      <c r="Q10" s="123"/>
      <c r="R10" s="123"/>
      <c r="S10" s="123"/>
      <c r="T10" s="123"/>
      <c r="U10" s="115"/>
      <c r="V10" s="123"/>
      <c r="W10" s="115"/>
      <c r="X10" s="115"/>
      <c r="Y10" s="115"/>
      <c r="Z10" s="115"/>
    </row>
    <row r="11">
      <c r="A11" s="126" t="s">
        <v>79</v>
      </c>
      <c r="B11" s="12"/>
      <c r="C11" s="12"/>
      <c r="D11" s="12"/>
      <c r="E11" s="12"/>
      <c r="F11" s="12"/>
      <c r="G11" s="12"/>
      <c r="H11" s="12"/>
      <c r="I11" s="12"/>
      <c r="K11" s="127" t="s">
        <v>80</v>
      </c>
      <c r="O11" s="123"/>
      <c r="P11" s="123"/>
      <c r="Q11" s="123"/>
      <c r="R11" s="123"/>
      <c r="S11" s="123"/>
      <c r="T11" s="123"/>
      <c r="U11" s="115"/>
      <c r="V11" s="123"/>
      <c r="W11" s="115"/>
      <c r="X11" s="115"/>
      <c r="Y11" s="115"/>
      <c r="Z11" s="115"/>
    </row>
    <row r="12">
      <c r="A12" s="128" t="s">
        <v>81</v>
      </c>
      <c r="B12" s="129" t="s">
        <v>10</v>
      </c>
      <c r="C12" s="130" t="s">
        <v>11</v>
      </c>
      <c r="D12" s="131" t="s">
        <v>82</v>
      </c>
      <c r="E12" s="129" t="s">
        <v>10</v>
      </c>
      <c r="F12" s="130" t="s">
        <v>11</v>
      </c>
      <c r="G12" s="131" t="s">
        <v>83</v>
      </c>
      <c r="H12" s="129" t="s">
        <v>10</v>
      </c>
      <c r="I12" s="130" t="s">
        <v>11</v>
      </c>
      <c r="J12" s="123"/>
      <c r="K12" s="132" t="s">
        <v>84</v>
      </c>
      <c r="O12" s="123"/>
      <c r="P12" s="123"/>
      <c r="Q12" s="123"/>
      <c r="R12" s="123"/>
      <c r="S12" s="123"/>
      <c r="T12" s="123"/>
      <c r="U12" s="115"/>
      <c r="V12" s="123"/>
      <c r="W12" s="115"/>
      <c r="X12" s="115"/>
      <c r="Y12" s="115"/>
      <c r="Z12" s="115"/>
    </row>
    <row r="13">
      <c r="A13" s="133"/>
      <c r="B13" s="134" t="s">
        <v>85</v>
      </c>
      <c r="C13" s="135" t="s">
        <v>86</v>
      </c>
      <c r="D13" s="133"/>
      <c r="E13" s="134" t="s">
        <v>87</v>
      </c>
      <c r="F13" s="136" t="s">
        <v>88</v>
      </c>
      <c r="G13" s="133"/>
      <c r="H13" s="134" t="s">
        <v>89</v>
      </c>
      <c r="I13" s="135" t="s">
        <v>90</v>
      </c>
      <c r="J13" s="123"/>
      <c r="K13" s="127" t="s">
        <v>38</v>
      </c>
      <c r="O13" s="123"/>
      <c r="P13" s="123"/>
      <c r="Q13" s="123"/>
      <c r="R13" s="123"/>
      <c r="S13" s="123"/>
      <c r="T13" s="123"/>
      <c r="U13" s="115"/>
      <c r="V13" s="123"/>
      <c r="W13" s="115"/>
      <c r="X13" s="115"/>
      <c r="Y13" s="115"/>
      <c r="Z13" s="115"/>
    </row>
    <row r="14">
      <c r="A14" s="133"/>
      <c r="B14" s="134" t="s">
        <v>91</v>
      </c>
      <c r="C14" s="135" t="s">
        <v>92</v>
      </c>
      <c r="D14" s="133"/>
      <c r="E14" s="134" t="s">
        <v>93</v>
      </c>
      <c r="F14" s="136" t="s">
        <v>94</v>
      </c>
      <c r="G14" s="133"/>
      <c r="H14" s="134" t="s">
        <v>95</v>
      </c>
      <c r="I14" s="135" t="s">
        <v>96</v>
      </c>
      <c r="J14" s="123"/>
      <c r="K14" s="127" t="s">
        <v>97</v>
      </c>
      <c r="L14" s="115"/>
      <c r="O14" s="120"/>
      <c r="P14" s="115"/>
      <c r="Q14" s="115"/>
      <c r="R14" s="115"/>
      <c r="S14" s="115"/>
      <c r="T14" s="115"/>
      <c r="U14" s="115"/>
      <c r="V14" s="120"/>
      <c r="W14" s="115"/>
      <c r="X14" s="115"/>
      <c r="Y14" s="115"/>
      <c r="Z14" s="115"/>
    </row>
    <row r="15">
      <c r="A15" s="133"/>
      <c r="B15" s="134" t="s">
        <v>98</v>
      </c>
      <c r="C15" s="135" t="s">
        <v>99</v>
      </c>
      <c r="D15" s="133"/>
      <c r="E15" s="134" t="s">
        <v>100</v>
      </c>
      <c r="F15" s="136" t="s">
        <v>101</v>
      </c>
      <c r="G15" s="133"/>
      <c r="H15" s="137"/>
      <c r="I15" s="137"/>
      <c r="J15" s="115"/>
      <c r="K15" s="127" t="s">
        <v>25</v>
      </c>
      <c r="L15" s="115"/>
      <c r="O15" s="111"/>
      <c r="P15" s="115"/>
      <c r="Q15" s="115"/>
      <c r="R15" s="115"/>
      <c r="S15" s="115"/>
      <c r="T15" s="115"/>
      <c r="U15" s="115"/>
      <c r="V15" s="111"/>
      <c r="W15" s="115"/>
      <c r="X15" s="115"/>
      <c r="Y15" s="115"/>
      <c r="Z15" s="115"/>
    </row>
    <row r="16">
      <c r="A16" s="133"/>
      <c r="B16" s="134" t="s">
        <v>102</v>
      </c>
      <c r="C16" s="135" t="s">
        <v>103</v>
      </c>
      <c r="D16" s="133"/>
      <c r="E16" s="134" t="s">
        <v>104</v>
      </c>
      <c r="F16" s="136" t="s">
        <v>105</v>
      </c>
      <c r="G16" s="133"/>
      <c r="H16" s="138"/>
      <c r="I16" s="139"/>
      <c r="J16" s="115"/>
      <c r="K16" s="127" t="s">
        <v>33</v>
      </c>
      <c r="L16" s="115"/>
      <c r="O16" s="111"/>
      <c r="P16" s="115"/>
      <c r="Q16" s="115"/>
      <c r="R16" s="115"/>
      <c r="S16" s="115"/>
      <c r="T16" s="115"/>
      <c r="U16" s="115"/>
      <c r="V16" s="111"/>
      <c r="W16" s="115"/>
      <c r="X16" s="115"/>
      <c r="Y16" s="115"/>
      <c r="Z16" s="115"/>
    </row>
    <row r="17">
      <c r="A17" s="133"/>
      <c r="B17" s="134" t="s">
        <v>106</v>
      </c>
      <c r="C17" s="135" t="s">
        <v>107</v>
      </c>
      <c r="D17" s="133"/>
      <c r="E17" s="134" t="s">
        <v>108</v>
      </c>
      <c r="F17" s="136" t="s">
        <v>109</v>
      </c>
      <c r="G17" s="133"/>
      <c r="H17" s="138"/>
      <c r="I17" s="139"/>
      <c r="J17" s="115"/>
      <c r="K17" s="132" t="s">
        <v>18</v>
      </c>
      <c r="L17" s="115"/>
      <c r="O17" s="111"/>
      <c r="P17" s="115"/>
      <c r="Q17" s="115"/>
      <c r="R17" s="115"/>
      <c r="S17" s="115"/>
      <c r="T17" s="115"/>
      <c r="U17" s="115"/>
      <c r="V17" s="111"/>
      <c r="W17" s="115"/>
      <c r="X17" s="115"/>
      <c r="Y17" s="115"/>
      <c r="Z17" s="115"/>
    </row>
    <row r="18">
      <c r="A18" s="133"/>
      <c r="B18" s="134" t="s">
        <v>110</v>
      </c>
      <c r="C18" s="135" t="s">
        <v>111</v>
      </c>
      <c r="D18" s="133"/>
      <c r="E18" s="134" t="s">
        <v>112</v>
      </c>
      <c r="F18" s="136" t="s">
        <v>113</v>
      </c>
      <c r="G18" s="133"/>
      <c r="H18" s="138"/>
      <c r="I18" s="138"/>
      <c r="J18" s="115"/>
      <c r="K18" s="127"/>
      <c r="L18" s="115"/>
      <c r="O18" s="111"/>
      <c r="P18" s="115"/>
      <c r="Q18" s="115"/>
      <c r="R18" s="115"/>
      <c r="S18" s="115"/>
      <c r="T18" s="115"/>
      <c r="U18" s="115"/>
      <c r="V18" s="111"/>
      <c r="W18" s="115"/>
      <c r="X18" s="115"/>
      <c r="Y18" s="115"/>
      <c r="Z18" s="115"/>
    </row>
    <row r="19">
      <c r="A19" s="133"/>
      <c r="B19" s="134" t="s">
        <v>114</v>
      </c>
      <c r="C19" s="135" t="s">
        <v>115</v>
      </c>
      <c r="D19" s="133"/>
      <c r="E19" s="134" t="s">
        <v>106</v>
      </c>
      <c r="F19" s="140"/>
      <c r="G19" s="133"/>
      <c r="H19" s="138"/>
      <c r="I19" s="138"/>
      <c r="J19" s="115"/>
      <c r="K19" s="141"/>
      <c r="L19" s="115"/>
      <c r="O19" s="111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</row>
    <row r="20">
      <c r="A20" s="133"/>
      <c r="B20" s="134" t="s">
        <v>116</v>
      </c>
      <c r="C20" s="135" t="s">
        <v>117</v>
      </c>
      <c r="D20" s="133"/>
      <c r="E20" s="138"/>
      <c r="F20" s="140"/>
      <c r="G20" s="133"/>
      <c r="H20" s="138"/>
      <c r="I20" s="138"/>
      <c r="J20" s="115"/>
      <c r="K20" s="141"/>
      <c r="L20" s="115"/>
      <c r="O20" s="111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</row>
    <row r="21">
      <c r="A21" s="133"/>
      <c r="B21" s="134" t="s">
        <v>118</v>
      </c>
      <c r="C21" s="135" t="s">
        <v>119</v>
      </c>
      <c r="D21" s="133"/>
      <c r="E21" s="138"/>
      <c r="F21" s="140"/>
      <c r="G21" s="133"/>
      <c r="H21" s="138"/>
      <c r="I21" s="138"/>
      <c r="J21" s="115"/>
      <c r="K21" s="142"/>
      <c r="L21" s="115"/>
      <c r="O21" s="111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</row>
    <row r="22">
      <c r="A22" s="133"/>
      <c r="B22" s="134" t="s">
        <v>120</v>
      </c>
      <c r="C22" s="135" t="s">
        <v>121</v>
      </c>
      <c r="D22" s="133"/>
      <c r="E22" s="138"/>
      <c r="F22" s="140"/>
      <c r="G22" s="133"/>
      <c r="H22" s="138"/>
      <c r="I22" s="138"/>
      <c r="J22" s="115"/>
      <c r="K22" s="142"/>
      <c r="L22" s="115"/>
      <c r="O22" s="111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</row>
    <row r="23">
      <c r="A23" s="133"/>
      <c r="B23" s="134" t="s">
        <v>95</v>
      </c>
      <c r="C23" s="135" t="s">
        <v>96</v>
      </c>
      <c r="D23" s="133"/>
      <c r="E23" s="138"/>
      <c r="F23" s="140"/>
      <c r="G23" s="133"/>
      <c r="H23" s="138"/>
      <c r="I23" s="138"/>
      <c r="J23" s="115"/>
      <c r="K23" s="142"/>
      <c r="L23" s="115"/>
      <c r="O23" s="111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>
      <c r="A24" s="133"/>
      <c r="B24" s="134" t="s">
        <v>122</v>
      </c>
      <c r="C24" s="135" t="s">
        <v>123</v>
      </c>
      <c r="D24" s="133"/>
      <c r="E24" s="138"/>
      <c r="F24" s="140"/>
      <c r="G24" s="133"/>
      <c r="H24" s="138"/>
      <c r="I24" s="138"/>
      <c r="J24" s="115"/>
      <c r="K24" s="142"/>
      <c r="L24" s="115"/>
      <c r="O24" s="111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</row>
    <row r="25">
      <c r="A25" s="133"/>
      <c r="B25" s="134" t="s">
        <v>124</v>
      </c>
      <c r="C25" s="135" t="s">
        <v>125</v>
      </c>
      <c r="D25" s="133"/>
      <c r="E25" s="138"/>
      <c r="F25" s="140"/>
      <c r="G25" s="133"/>
      <c r="H25" s="138"/>
      <c r="I25" s="138"/>
      <c r="J25" s="115"/>
      <c r="L25" s="115"/>
      <c r="O25" s="111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</row>
    <row r="26">
      <c r="A26" s="133"/>
      <c r="B26" s="137"/>
      <c r="C26" s="137"/>
      <c r="D26" s="133"/>
      <c r="E26" s="138"/>
      <c r="F26" s="140"/>
      <c r="G26" s="133"/>
      <c r="H26" s="138"/>
      <c r="I26" s="138"/>
      <c r="J26" s="115"/>
      <c r="K26" s="115"/>
      <c r="L26" s="115"/>
      <c r="M26" s="143"/>
      <c r="N26" s="143"/>
      <c r="O26" s="111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</row>
    <row r="27">
      <c r="A27" s="133"/>
      <c r="B27" s="137"/>
      <c r="C27" s="137"/>
      <c r="D27" s="133"/>
      <c r="E27" s="138"/>
      <c r="F27" s="140"/>
      <c r="G27" s="133"/>
      <c r="H27" s="138"/>
      <c r="I27" s="138"/>
      <c r="J27" s="115"/>
      <c r="K27" s="115"/>
      <c r="L27" s="115"/>
      <c r="M27" s="143"/>
      <c r="N27" s="143"/>
      <c r="O27" s="111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</row>
    <row r="28">
      <c r="A28" s="133"/>
      <c r="B28" s="137"/>
      <c r="C28" s="137"/>
      <c r="D28" s="133"/>
      <c r="E28" s="138"/>
      <c r="F28" s="140"/>
      <c r="G28" s="133"/>
      <c r="H28" s="138"/>
      <c r="I28" s="138"/>
      <c r="J28" s="115"/>
      <c r="K28" s="115"/>
      <c r="L28" s="115"/>
      <c r="M28" s="143"/>
      <c r="N28" s="143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</row>
    <row r="29">
      <c r="A29" s="133"/>
      <c r="B29" s="137"/>
      <c r="C29" s="137"/>
      <c r="D29" s="133"/>
      <c r="E29" s="138"/>
      <c r="F29" s="140"/>
      <c r="G29" s="133"/>
      <c r="H29" s="138"/>
      <c r="I29" s="138"/>
      <c r="J29" s="115"/>
      <c r="K29" s="115"/>
      <c r="L29" s="115"/>
      <c r="M29" s="143"/>
      <c r="N29" s="143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</row>
    <row r="30">
      <c r="A30" s="133"/>
      <c r="B30" s="144"/>
      <c r="C30" s="144"/>
      <c r="D30" s="133"/>
      <c r="E30" s="145"/>
      <c r="F30" s="146"/>
      <c r="G30" s="133"/>
      <c r="H30" s="138"/>
      <c r="I30" s="138"/>
      <c r="J30" s="115"/>
      <c r="K30" s="115"/>
      <c r="L30" s="115"/>
      <c r="M30" s="143"/>
      <c r="N30" s="143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</row>
    <row r="31">
      <c r="A31" s="133"/>
      <c r="B31" s="144"/>
      <c r="C31" s="144"/>
      <c r="D31" s="133"/>
      <c r="E31" s="145"/>
      <c r="F31" s="140"/>
      <c r="G31" s="133"/>
      <c r="H31" s="137"/>
      <c r="I31" s="137"/>
      <c r="J31" s="115"/>
      <c r="K31" s="115"/>
      <c r="L31" s="115"/>
      <c r="M31" s="143"/>
      <c r="N31" s="143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</row>
    <row r="32">
      <c r="A32" s="133"/>
      <c r="B32" s="144"/>
      <c r="C32" s="144"/>
      <c r="D32" s="133"/>
      <c r="E32" s="145"/>
      <c r="F32" s="140"/>
      <c r="G32" s="133"/>
      <c r="H32" s="137"/>
      <c r="I32" s="137"/>
      <c r="J32" s="115"/>
      <c r="K32" s="115"/>
      <c r="L32" s="115"/>
      <c r="M32" s="143"/>
      <c r="N32" s="143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</row>
    <row r="33">
      <c r="A33" s="133"/>
      <c r="B33" s="144"/>
      <c r="C33" s="144"/>
      <c r="D33" s="133"/>
      <c r="E33" s="145"/>
      <c r="F33" s="140"/>
      <c r="G33" s="133"/>
      <c r="H33" s="137"/>
      <c r="I33" s="137"/>
      <c r="J33" s="115"/>
      <c r="K33" s="115"/>
      <c r="L33" s="115"/>
      <c r="M33" s="143"/>
      <c r="N33" s="143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</row>
    <row r="34">
      <c r="A34" s="133"/>
      <c r="B34" s="144"/>
      <c r="C34" s="144"/>
      <c r="D34" s="133"/>
      <c r="E34" s="145"/>
      <c r="F34" s="140"/>
      <c r="G34" s="133"/>
      <c r="H34" s="137"/>
      <c r="I34" s="137"/>
      <c r="J34" s="115"/>
      <c r="K34" s="115"/>
      <c r="L34" s="115"/>
      <c r="M34" s="143"/>
      <c r="N34" s="143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</row>
    <row r="35">
      <c r="A35" s="133"/>
      <c r="B35" s="144"/>
      <c r="C35" s="144"/>
      <c r="D35" s="133"/>
      <c r="E35" s="145"/>
      <c r="F35" s="140"/>
      <c r="G35" s="133"/>
      <c r="H35" s="137"/>
      <c r="I35" s="137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</row>
    <row r="36">
      <c r="A36" s="133"/>
      <c r="B36" s="144"/>
      <c r="C36" s="144"/>
      <c r="D36" s="133"/>
      <c r="E36" s="145"/>
      <c r="F36" s="140"/>
      <c r="G36" s="133"/>
      <c r="H36" s="137"/>
      <c r="I36" s="137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</row>
    <row r="37">
      <c r="A37" s="133"/>
      <c r="B37" s="144"/>
      <c r="C37" s="144"/>
      <c r="D37" s="133"/>
      <c r="E37" s="145"/>
      <c r="F37" s="140"/>
      <c r="G37" s="133"/>
      <c r="H37" s="137"/>
      <c r="I37" s="137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</row>
    <row r="38">
      <c r="A38" s="133"/>
      <c r="B38" s="144"/>
      <c r="C38" s="144"/>
      <c r="D38" s="133"/>
      <c r="E38" s="145"/>
      <c r="F38" s="140"/>
      <c r="G38" s="133"/>
      <c r="H38" s="137"/>
      <c r="I38" s="137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</row>
    <row r="39">
      <c r="A39" s="133"/>
      <c r="B39" s="144"/>
      <c r="C39" s="144"/>
      <c r="D39" s="133"/>
      <c r="E39" s="145"/>
      <c r="F39" s="140"/>
      <c r="G39" s="133"/>
      <c r="H39" s="137"/>
      <c r="I39" s="137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</row>
    <row r="40">
      <c r="A40" s="133"/>
      <c r="B40" s="144"/>
      <c r="C40" s="144"/>
      <c r="D40" s="133"/>
      <c r="E40" s="145"/>
      <c r="F40" s="140"/>
      <c r="G40" s="133"/>
      <c r="H40" s="137"/>
      <c r="I40" s="137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</row>
    <row r="41">
      <c r="A41" s="133"/>
      <c r="B41" s="144"/>
      <c r="C41" s="144"/>
      <c r="D41" s="133"/>
      <c r="E41" s="147"/>
      <c r="F41" s="140"/>
      <c r="G41" s="133"/>
      <c r="H41" s="137"/>
      <c r="I41" s="137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</row>
    <row r="42">
      <c r="A42" s="133"/>
      <c r="B42" s="144"/>
      <c r="C42" s="144"/>
      <c r="D42" s="133"/>
      <c r="E42" s="147"/>
      <c r="F42" s="140"/>
      <c r="G42" s="133"/>
      <c r="H42" s="137"/>
      <c r="I42" s="137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</row>
    <row r="43">
      <c r="A43" s="133"/>
      <c r="B43" s="144"/>
      <c r="C43" s="144"/>
      <c r="D43" s="133"/>
      <c r="E43" s="147"/>
      <c r="F43" s="140"/>
      <c r="G43" s="133"/>
      <c r="H43" s="137"/>
      <c r="I43" s="137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>
      <c r="A44" s="133"/>
      <c r="B44" s="144"/>
      <c r="C44" s="144"/>
      <c r="D44" s="133"/>
      <c r="E44" s="147"/>
      <c r="F44" s="140"/>
      <c r="G44" s="133"/>
      <c r="H44" s="137"/>
      <c r="I44" s="137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</row>
    <row r="45">
      <c r="A45" s="133"/>
      <c r="B45" s="144"/>
      <c r="C45" s="144"/>
      <c r="D45" s="133"/>
      <c r="E45" s="147"/>
      <c r="F45" s="140"/>
      <c r="G45" s="133"/>
      <c r="H45" s="137"/>
      <c r="I45" s="137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</row>
    <row r="46">
      <c r="A46" s="133"/>
      <c r="B46" s="144"/>
      <c r="C46" s="144"/>
      <c r="D46" s="133"/>
      <c r="E46" s="147"/>
      <c r="F46" s="140"/>
      <c r="G46" s="133"/>
      <c r="H46" s="137"/>
      <c r="I46" s="137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</row>
    <row r="47">
      <c r="A47" s="133"/>
      <c r="B47" s="144"/>
      <c r="C47" s="144"/>
      <c r="D47" s="133"/>
      <c r="E47" s="147"/>
      <c r="F47" s="140"/>
      <c r="G47" s="133"/>
      <c r="H47" s="137"/>
      <c r="I47" s="137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</row>
    <row r="48">
      <c r="A48" s="133"/>
      <c r="B48" s="144"/>
      <c r="C48" s="144"/>
      <c r="D48" s="133"/>
      <c r="E48" s="147"/>
      <c r="F48" s="140"/>
      <c r="G48" s="133"/>
      <c r="H48" s="137"/>
      <c r="I48" s="137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</row>
    <row r="49">
      <c r="A49" s="133"/>
      <c r="B49" s="144"/>
      <c r="C49" s="144"/>
      <c r="D49" s="133"/>
      <c r="E49" s="147"/>
      <c r="F49" s="140"/>
      <c r="G49" s="133"/>
      <c r="H49" s="137"/>
      <c r="I49" s="137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</row>
    <row r="50">
      <c r="A50" s="133"/>
      <c r="B50" s="144"/>
      <c r="C50" s="144"/>
      <c r="D50" s="133"/>
      <c r="E50" s="147"/>
      <c r="F50" s="140"/>
      <c r="G50" s="133"/>
      <c r="H50" s="137"/>
      <c r="I50" s="137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</row>
    <row r="51">
      <c r="A51" s="133"/>
      <c r="B51" s="144"/>
      <c r="C51" s="144"/>
      <c r="D51" s="133"/>
      <c r="E51" s="147"/>
      <c r="F51" s="140"/>
      <c r="G51" s="133"/>
      <c r="H51" s="137"/>
      <c r="I51" s="137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</row>
    <row r="52">
      <c r="A52" s="148"/>
      <c r="B52" s="144"/>
      <c r="C52" s="144"/>
      <c r="D52" s="148"/>
      <c r="E52" s="147"/>
      <c r="F52" s="140"/>
      <c r="G52" s="148"/>
      <c r="H52" s="137"/>
      <c r="I52" s="137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</row>
    <row r="53"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</row>
    <row r="54"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</row>
    <row r="55"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</row>
    <row r="56"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</row>
    <row r="57"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</row>
    <row r="58"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</row>
    <row r="59">
      <c r="D59" s="115"/>
      <c r="E59" s="115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</row>
    <row r="60"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</row>
    <row r="61">
      <c r="D61" s="115"/>
      <c r="E61" s="115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</row>
    <row r="62"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</row>
    <row r="63"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</row>
    <row r="64"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</row>
    <row r="65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</row>
    <row r="66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</row>
    <row r="67"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</row>
    <row r="68"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</row>
    <row r="69"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</row>
    <row r="70"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</row>
    <row r="71"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</row>
    <row r="72"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</row>
    <row r="73"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</row>
    <row r="74"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</row>
    <row r="75"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</row>
    <row r="76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</row>
    <row r="77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</row>
    <row r="78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</row>
    <row r="79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</row>
    <row r="80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</row>
    <row r="81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</row>
    <row r="82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</row>
    <row r="87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</row>
    <row r="88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</row>
    <row r="89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</row>
    <row r="90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</row>
    <row r="91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</row>
    <row r="92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</row>
    <row r="93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</row>
    <row r="94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</row>
    <row r="95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</row>
    <row r="96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</row>
    <row r="97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</row>
    <row r="98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</row>
    <row r="99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</row>
    <row r="100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</row>
    <row r="10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</row>
    <row r="102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</row>
    <row r="103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</row>
    <row r="104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</row>
    <row r="105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</row>
    <row r="106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</row>
    <row r="107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</row>
    <row r="108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</row>
    <row r="109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</row>
    <row r="110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</row>
    <row r="11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</row>
    <row r="112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</row>
    <row r="113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</row>
    <row r="114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</row>
    <row r="115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</row>
    <row r="116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</row>
    <row r="117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</row>
    <row r="118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</row>
    <row r="119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</row>
    <row r="120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</row>
    <row r="121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</row>
    <row r="122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</row>
    <row r="12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</row>
    <row r="124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</row>
    <row r="125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</row>
    <row r="126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</row>
    <row r="127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</row>
    <row r="128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</row>
    <row r="129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</row>
    <row r="130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</row>
    <row r="13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</row>
    <row r="132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</row>
    <row r="133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</row>
    <row r="134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</row>
    <row r="135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</row>
    <row r="136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</row>
    <row r="137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</row>
    <row r="138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</row>
    <row r="139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</row>
    <row r="140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</row>
    <row r="141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</row>
    <row r="142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</row>
    <row r="143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</row>
    <row r="144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</row>
    <row r="145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</row>
    <row r="146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</row>
    <row r="147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</row>
    <row r="148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</row>
    <row r="149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</row>
    <row r="150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</row>
    <row r="151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</row>
    <row r="152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</row>
    <row r="153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</row>
    <row r="154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</row>
    <row r="155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</row>
    <row r="156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</row>
    <row r="157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</row>
    <row r="158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</row>
    <row r="159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</row>
    <row r="160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</row>
    <row r="161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</row>
    <row r="162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</row>
    <row r="163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</row>
    <row r="164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</row>
    <row r="165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</row>
    <row r="166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</row>
    <row r="167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</row>
    <row r="168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</row>
    <row r="169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</row>
    <row r="170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</row>
    <row r="171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</row>
    <row r="172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</row>
    <row r="173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</row>
    <row r="174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</row>
    <row r="175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</row>
    <row r="176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</row>
    <row r="177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</row>
    <row r="178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</row>
    <row r="179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</row>
    <row r="180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</row>
    <row r="181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</row>
    <row r="182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</row>
    <row r="183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</row>
    <row r="184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</row>
    <row r="185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</row>
    <row r="186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</row>
    <row r="187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</row>
    <row r="188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</row>
    <row r="189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</row>
    <row r="190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</row>
    <row r="191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</row>
    <row r="192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</row>
    <row r="193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</row>
    <row r="194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</row>
    <row r="195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</row>
    <row r="196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</row>
    <row r="197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</row>
    <row r="198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</row>
    <row r="199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</row>
    <row r="200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</row>
    <row r="201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</row>
    <row r="202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</row>
    <row r="203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</row>
    <row r="204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</row>
    <row r="205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</row>
    <row r="206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</row>
    <row r="207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</row>
    <row r="208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</row>
    <row r="209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</row>
    <row r="210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</row>
    <row r="211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</row>
    <row r="212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</row>
    <row r="213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</row>
    <row r="214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</row>
    <row r="215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</row>
    <row r="216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</row>
    <row r="217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</row>
    <row r="218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</row>
    <row r="219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</row>
    <row r="220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</row>
    <row r="221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</row>
    <row r="222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</row>
    <row r="223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</row>
    <row r="224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</row>
    <row r="225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</row>
    <row r="226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</row>
    <row r="227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</row>
    <row r="228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</row>
    <row r="229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</row>
    <row r="230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</row>
    <row r="231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</row>
    <row r="232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</row>
    <row r="233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</row>
    <row r="234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</row>
    <row r="235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</row>
    <row r="236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</row>
    <row r="237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</row>
    <row r="238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</row>
    <row r="239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</row>
    <row r="240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</row>
    <row r="24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</row>
    <row r="242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</row>
    <row r="243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</row>
    <row r="244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</row>
    <row r="245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</row>
    <row r="246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</row>
    <row r="247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</row>
    <row r="248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</row>
    <row r="249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</row>
    <row r="250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</row>
    <row r="25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</row>
    <row r="252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</row>
    <row r="253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</row>
    <row r="254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</row>
    <row r="255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</row>
    <row r="256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</row>
    <row r="257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</row>
    <row r="258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</row>
    <row r="259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</row>
    <row r="260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</row>
    <row r="26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</row>
    <row r="262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</row>
    <row r="263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</row>
    <row r="264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</row>
    <row r="265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</row>
    <row r="266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</row>
    <row r="267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</row>
    <row r="268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</row>
    <row r="269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</row>
    <row r="270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</row>
    <row r="27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</row>
    <row r="272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</row>
    <row r="273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</row>
    <row r="274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</row>
    <row r="275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</row>
    <row r="276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</row>
    <row r="277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</row>
    <row r="278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</row>
    <row r="279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</row>
    <row r="280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</row>
    <row r="28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</row>
    <row r="282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</row>
    <row r="283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</row>
    <row r="284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</row>
    <row r="285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</row>
    <row r="286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</row>
    <row r="287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</row>
    <row r="288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</row>
    <row r="289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</row>
    <row r="290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</row>
    <row r="29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</row>
    <row r="292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</row>
    <row r="293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</row>
    <row r="294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</row>
    <row r="295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</row>
    <row r="296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</row>
    <row r="297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</row>
    <row r="298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</row>
    <row r="299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</row>
    <row r="300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</row>
    <row r="30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</row>
    <row r="302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</row>
    <row r="303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</row>
    <row r="304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</row>
    <row r="305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</row>
    <row r="306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</row>
    <row r="307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</row>
    <row r="308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</row>
    <row r="309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</row>
    <row r="310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</row>
    <row r="31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</row>
    <row r="312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</row>
    <row r="313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</row>
    <row r="314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</row>
    <row r="315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</row>
    <row r="316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</row>
    <row r="317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</row>
    <row r="318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</row>
    <row r="319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</row>
    <row r="320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</row>
    <row r="32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</row>
    <row r="322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</row>
    <row r="323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</row>
    <row r="324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</row>
    <row r="325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</row>
    <row r="326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</row>
    <row r="327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</row>
    <row r="328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</row>
    <row r="329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</row>
    <row r="330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</row>
    <row r="33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</row>
    <row r="332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</row>
    <row r="333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</row>
    <row r="334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</row>
    <row r="335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</row>
    <row r="336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</row>
    <row r="337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</row>
    <row r="338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</row>
    <row r="339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</row>
    <row r="340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</row>
    <row r="34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</row>
    <row r="342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</row>
    <row r="343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</row>
    <row r="344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</row>
    <row r="345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</row>
    <row r="346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</row>
    <row r="347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</row>
    <row r="348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</row>
    <row r="349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</row>
    <row r="350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</row>
    <row r="35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</row>
    <row r="352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</row>
    <row r="353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</row>
    <row r="354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</row>
    <row r="355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</row>
    <row r="356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</row>
    <row r="357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</row>
    <row r="358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</row>
    <row r="359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</row>
    <row r="360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</row>
    <row r="36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</row>
    <row r="362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</row>
    <row r="363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</row>
    <row r="364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</row>
    <row r="365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</row>
    <row r="366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</row>
    <row r="367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</row>
    <row r="368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</row>
    <row r="369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</row>
    <row r="370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</row>
    <row r="37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</row>
    <row r="372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</row>
    <row r="373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</row>
    <row r="374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</row>
    <row r="375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</row>
    <row r="376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</row>
    <row r="377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</row>
    <row r="378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</row>
    <row r="379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</row>
    <row r="380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</row>
    <row r="38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</row>
    <row r="382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</row>
    <row r="383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</row>
    <row r="384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</row>
    <row r="385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</row>
    <row r="386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</row>
    <row r="387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</row>
    <row r="388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</row>
    <row r="389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</row>
    <row r="390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</row>
    <row r="39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</row>
    <row r="392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</row>
    <row r="393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</row>
    <row r="394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</row>
    <row r="395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</row>
    <row r="396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</row>
    <row r="397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</row>
    <row r="398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</row>
    <row r="399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</row>
    <row r="400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</row>
    <row r="40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</row>
    <row r="402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</row>
    <row r="403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</row>
    <row r="404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</row>
    <row r="405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</row>
    <row r="406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</row>
    <row r="407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</row>
    <row r="408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</row>
    <row r="409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</row>
    <row r="410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</row>
    <row r="41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</row>
    <row r="412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</row>
    <row r="413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</row>
    <row r="414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</row>
    <row r="415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</row>
    <row r="416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</row>
    <row r="417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</row>
    <row r="418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</row>
    <row r="419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</row>
    <row r="420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</row>
    <row r="42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</row>
    <row r="422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</row>
    <row r="423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</row>
    <row r="424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</row>
    <row r="425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</row>
    <row r="426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</row>
    <row r="427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</row>
    <row r="428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</row>
    <row r="429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</row>
    <row r="430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</row>
    <row r="43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</row>
    <row r="432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</row>
    <row r="433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</row>
    <row r="434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</row>
    <row r="435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</row>
    <row r="436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</row>
    <row r="437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</row>
    <row r="438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</row>
    <row r="439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</row>
    <row r="440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</row>
    <row r="44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</row>
    <row r="442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</row>
    <row r="443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</row>
    <row r="444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</row>
    <row r="445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</row>
    <row r="446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</row>
    <row r="447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</row>
    <row r="448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</row>
    <row r="449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</row>
    <row r="450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</row>
    <row r="45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</row>
    <row r="452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</row>
    <row r="453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</row>
    <row r="454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</row>
    <row r="455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</row>
    <row r="456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</row>
    <row r="457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</row>
    <row r="458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</row>
    <row r="459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</row>
    <row r="460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</row>
    <row r="46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</row>
    <row r="462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</row>
    <row r="463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</row>
    <row r="464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</row>
    <row r="465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</row>
    <row r="466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</row>
    <row r="467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</row>
    <row r="468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</row>
    <row r="469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</row>
    <row r="470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</row>
    <row r="47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</row>
    <row r="472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</row>
    <row r="473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</row>
    <row r="474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</row>
    <row r="475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</row>
    <row r="476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</row>
    <row r="477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</row>
    <row r="478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</row>
    <row r="479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</row>
    <row r="480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</row>
    <row r="48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</row>
    <row r="482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</row>
    <row r="483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</row>
    <row r="484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</row>
    <row r="485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</row>
    <row r="486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</row>
    <row r="487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</row>
    <row r="488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</row>
    <row r="489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</row>
    <row r="490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</row>
    <row r="49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</row>
    <row r="492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</row>
    <row r="493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</row>
    <row r="494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</row>
    <row r="495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</row>
    <row r="496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</row>
    <row r="497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</row>
    <row r="498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</row>
    <row r="499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</row>
    <row r="500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</row>
    <row r="50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</row>
    <row r="502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</row>
    <row r="503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</row>
    <row r="504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</row>
    <row r="505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</row>
    <row r="506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</row>
    <row r="507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</row>
    <row r="508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</row>
    <row r="509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</row>
    <row r="510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</row>
    <row r="51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</row>
    <row r="512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</row>
    <row r="513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</row>
    <row r="514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</row>
    <row r="515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</row>
    <row r="516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</row>
    <row r="517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</row>
    <row r="518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</row>
    <row r="519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</row>
    <row r="520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</row>
    <row r="52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</row>
    <row r="522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</row>
    <row r="523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</row>
    <row r="524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</row>
    <row r="525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</row>
    <row r="526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</row>
    <row r="527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</row>
    <row r="528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</row>
    <row r="529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</row>
    <row r="530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</row>
    <row r="53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</row>
    <row r="532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</row>
    <row r="533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</row>
    <row r="534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</row>
    <row r="535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</row>
    <row r="536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</row>
    <row r="537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</row>
    <row r="538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</row>
    <row r="539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</row>
    <row r="540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</row>
    <row r="54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</row>
    <row r="542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</row>
    <row r="543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</row>
    <row r="544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</row>
    <row r="545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</row>
    <row r="546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</row>
    <row r="547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</row>
    <row r="548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</row>
    <row r="549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</row>
    <row r="550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</row>
    <row r="55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</row>
    <row r="552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</row>
    <row r="553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</row>
    <row r="554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</row>
    <row r="555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</row>
    <row r="556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</row>
    <row r="557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</row>
    <row r="558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</row>
    <row r="559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</row>
    <row r="560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</row>
    <row r="56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</row>
    <row r="562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</row>
    <row r="563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</row>
    <row r="564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</row>
    <row r="565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</row>
    <row r="566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</row>
    <row r="567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</row>
    <row r="568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</row>
    <row r="569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</row>
    <row r="570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</row>
    <row r="57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</row>
    <row r="572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</row>
    <row r="573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</row>
    <row r="574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</row>
    <row r="575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</row>
    <row r="576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</row>
    <row r="577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</row>
    <row r="578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</row>
    <row r="579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</row>
    <row r="580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</row>
    <row r="58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</row>
    <row r="582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</row>
    <row r="583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</row>
    <row r="584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</row>
    <row r="585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</row>
    <row r="586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</row>
    <row r="587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</row>
    <row r="588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</row>
    <row r="589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</row>
    <row r="590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</row>
    <row r="59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</row>
    <row r="592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</row>
    <row r="593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</row>
    <row r="594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</row>
    <row r="595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</row>
    <row r="596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</row>
    <row r="597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</row>
    <row r="598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</row>
    <row r="599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</row>
    <row r="600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</row>
    <row r="60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</row>
    <row r="602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</row>
    <row r="603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</row>
    <row r="604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</row>
    <row r="605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</row>
    <row r="606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</row>
    <row r="607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</row>
    <row r="608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</row>
    <row r="609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</row>
    <row r="610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</row>
    <row r="61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</row>
    <row r="612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</row>
    <row r="613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</row>
    <row r="614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</row>
    <row r="615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</row>
    <row r="616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</row>
    <row r="617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</row>
    <row r="618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</row>
    <row r="619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</row>
    <row r="620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</row>
    <row r="62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</row>
    <row r="622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</row>
    <row r="623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</row>
    <row r="624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</row>
    <row r="625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</row>
    <row r="626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</row>
    <row r="627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</row>
    <row r="628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</row>
    <row r="629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</row>
    <row r="630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</row>
    <row r="63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</row>
    <row r="632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</row>
    <row r="633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</row>
    <row r="634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</row>
    <row r="635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</row>
    <row r="636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</row>
    <row r="637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</row>
    <row r="638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</row>
    <row r="639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</row>
    <row r="640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</row>
    <row r="64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</row>
    <row r="642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</row>
    <row r="643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</row>
    <row r="644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</row>
    <row r="645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</row>
    <row r="646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</row>
    <row r="647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</row>
    <row r="648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</row>
    <row r="649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</row>
    <row r="650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</row>
    <row r="65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</row>
    <row r="652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</row>
    <row r="653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</row>
    <row r="654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</row>
    <row r="655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</row>
    <row r="656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</row>
    <row r="657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</row>
    <row r="658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</row>
    <row r="659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</row>
    <row r="660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</row>
    <row r="66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</row>
    <row r="662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</row>
    <row r="663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</row>
    <row r="664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</row>
    <row r="665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</row>
    <row r="666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</row>
    <row r="667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</row>
    <row r="668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</row>
    <row r="669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</row>
    <row r="670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</row>
    <row r="67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</row>
    <row r="672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</row>
    <row r="673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</row>
    <row r="674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</row>
    <row r="675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</row>
    <row r="676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</row>
    <row r="677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</row>
    <row r="678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</row>
    <row r="679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</row>
    <row r="680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</row>
    <row r="68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</row>
    <row r="682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</row>
    <row r="683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</row>
    <row r="684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</row>
    <row r="685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</row>
    <row r="686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</row>
    <row r="687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</row>
    <row r="688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</row>
    <row r="689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</row>
    <row r="690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</row>
    <row r="69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</row>
    <row r="692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</row>
    <row r="693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</row>
    <row r="694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</row>
    <row r="695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</row>
    <row r="696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</row>
    <row r="697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</row>
    <row r="698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</row>
    <row r="699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</row>
    <row r="700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</row>
    <row r="70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</row>
    <row r="702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</row>
    <row r="703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</row>
    <row r="704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</row>
    <row r="705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</row>
    <row r="706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</row>
    <row r="707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</row>
    <row r="708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</row>
    <row r="709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</row>
    <row r="710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</row>
    <row r="71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</row>
    <row r="712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</row>
    <row r="713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</row>
    <row r="714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</row>
    <row r="715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</row>
    <row r="716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</row>
    <row r="717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</row>
    <row r="718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</row>
    <row r="719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</row>
    <row r="720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</row>
    <row r="72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</row>
    <row r="722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</row>
    <row r="723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</row>
    <row r="724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</row>
    <row r="725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</row>
    <row r="726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</row>
    <row r="727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</row>
    <row r="728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</row>
    <row r="729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</row>
    <row r="730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</row>
    <row r="73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</row>
    <row r="732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</row>
    <row r="733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</row>
    <row r="734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</row>
    <row r="735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</row>
    <row r="736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</row>
    <row r="737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</row>
    <row r="738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</row>
    <row r="739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</row>
    <row r="740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</row>
    <row r="74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</row>
    <row r="742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</row>
    <row r="743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</row>
    <row r="744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</row>
    <row r="745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</row>
    <row r="746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</row>
    <row r="747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</row>
    <row r="748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</row>
    <row r="749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</row>
    <row r="750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</row>
    <row r="75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</row>
    <row r="752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</row>
    <row r="753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</row>
    <row r="754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</row>
    <row r="755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</row>
    <row r="756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</row>
    <row r="757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</row>
    <row r="758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</row>
    <row r="759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</row>
    <row r="760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</row>
    <row r="76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</row>
    <row r="762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</row>
    <row r="763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</row>
    <row r="764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</row>
    <row r="765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</row>
    <row r="766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</row>
    <row r="767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</row>
    <row r="768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</row>
    <row r="769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</row>
    <row r="770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</row>
    <row r="771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</row>
    <row r="772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</row>
    <row r="773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</row>
    <row r="774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</row>
    <row r="775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</row>
    <row r="776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</row>
    <row r="777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</row>
    <row r="778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</row>
    <row r="779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</row>
    <row r="780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</row>
    <row r="781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</row>
    <row r="782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</row>
    <row r="783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</row>
    <row r="784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</row>
    <row r="785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</row>
    <row r="786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</row>
    <row r="787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</row>
    <row r="788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</row>
    <row r="789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</row>
    <row r="790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</row>
    <row r="791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</row>
    <row r="792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</row>
    <row r="793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</row>
    <row r="794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</row>
    <row r="795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</row>
    <row r="796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</row>
    <row r="797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</row>
    <row r="798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</row>
    <row r="799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</row>
    <row r="800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</row>
    <row r="801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</row>
    <row r="802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</row>
    <row r="803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</row>
    <row r="804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</row>
    <row r="805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</row>
    <row r="806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</row>
    <row r="807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</row>
    <row r="808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</row>
    <row r="809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</row>
    <row r="810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</row>
    <row r="811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</row>
    <row r="812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</row>
    <row r="813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</row>
    <row r="814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</row>
    <row r="815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</row>
    <row r="816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</row>
    <row r="817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</row>
    <row r="818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</row>
    <row r="819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</row>
    <row r="820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</row>
    <row r="821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</row>
    <row r="822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</row>
    <row r="823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</row>
    <row r="824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</row>
    <row r="825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</row>
    <row r="826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</row>
    <row r="827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</row>
    <row r="828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</row>
    <row r="829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</row>
    <row r="830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</row>
    <row r="831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</row>
    <row r="832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</row>
    <row r="833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</row>
    <row r="834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</row>
    <row r="835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</row>
    <row r="836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</row>
    <row r="837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</row>
    <row r="838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</row>
    <row r="839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</row>
    <row r="840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</row>
    <row r="841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</row>
    <row r="842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</row>
    <row r="843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</row>
    <row r="844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</row>
    <row r="845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</row>
    <row r="846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</row>
    <row r="847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</row>
    <row r="848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</row>
    <row r="849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</row>
    <row r="850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</row>
    <row r="851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</row>
    <row r="852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</row>
    <row r="853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</row>
    <row r="854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</row>
    <row r="855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</row>
    <row r="856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</row>
    <row r="857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</row>
    <row r="858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</row>
    <row r="859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</row>
    <row r="860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</row>
    <row r="861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</row>
    <row r="862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</row>
    <row r="863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</row>
    <row r="864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</row>
    <row r="865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</row>
    <row r="866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</row>
    <row r="867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</row>
    <row r="868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</row>
    <row r="869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</row>
    <row r="870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</row>
    <row r="871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</row>
    <row r="872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</row>
    <row r="873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</row>
    <row r="874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</row>
    <row r="875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</row>
    <row r="876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</row>
    <row r="877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</row>
    <row r="878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</row>
    <row r="879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</row>
    <row r="880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</row>
    <row r="881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</row>
    <row r="882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</row>
    <row r="883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</row>
    <row r="884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</row>
    <row r="885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</row>
    <row r="886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</row>
    <row r="887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</row>
    <row r="888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</row>
    <row r="889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</row>
    <row r="890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</row>
    <row r="891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</row>
    <row r="892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</row>
    <row r="893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</row>
    <row r="894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</row>
    <row r="895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</row>
    <row r="896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</row>
    <row r="897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</row>
    <row r="898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</row>
    <row r="899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</row>
    <row r="900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</row>
    <row r="901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</row>
    <row r="902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</row>
    <row r="903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</row>
    <row r="904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</row>
    <row r="905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</row>
    <row r="906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</row>
    <row r="907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</row>
    <row r="908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</row>
    <row r="909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</row>
    <row r="910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</row>
    <row r="911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</row>
    <row r="912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</row>
    <row r="913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</row>
    <row r="914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</row>
    <row r="915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</row>
    <row r="916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</row>
    <row r="917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</row>
    <row r="918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</row>
    <row r="919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</row>
    <row r="920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</row>
    <row r="921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</row>
    <row r="922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</row>
    <row r="923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</row>
    <row r="924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</row>
    <row r="925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</row>
    <row r="926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</row>
    <row r="927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</row>
    <row r="928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</row>
    <row r="929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</row>
    <row r="930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</row>
    <row r="931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</row>
    <row r="932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</row>
    <row r="933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</row>
    <row r="934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</row>
    <row r="935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</row>
    <row r="936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</row>
    <row r="937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</row>
    <row r="938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</row>
    <row r="939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</row>
    <row r="940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</row>
    <row r="941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</row>
    <row r="942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</row>
    <row r="943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</row>
    <row r="944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</row>
    <row r="945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</row>
    <row r="946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</row>
    <row r="947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</row>
    <row r="948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</row>
    <row r="949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</row>
    <row r="950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</row>
    <row r="951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</row>
    <row r="952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</row>
    <row r="953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</row>
    <row r="954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</row>
    <row r="955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</row>
    <row r="956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</row>
    <row r="957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</row>
    <row r="958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</row>
    <row r="959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</row>
    <row r="960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</row>
    <row r="961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</row>
    <row r="962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</row>
    <row r="963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</row>
    <row r="964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</row>
    <row r="965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</row>
    <row r="966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</row>
    <row r="967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</row>
    <row r="968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</row>
    <row r="969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</row>
    <row r="970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</row>
    <row r="971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</row>
    <row r="972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</row>
    <row r="973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</row>
    <row r="974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</row>
    <row r="975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</row>
    <row r="976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</row>
    <row r="977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</row>
    <row r="978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</row>
    <row r="979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</row>
    <row r="980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</row>
    <row r="981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</row>
    <row r="982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</row>
    <row r="983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</row>
    <row r="984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</row>
    <row r="985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</row>
    <row r="986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</row>
    <row r="987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</row>
    <row r="988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</row>
    <row r="989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</row>
    <row r="990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</row>
    <row r="991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</row>
    <row r="992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</row>
    <row r="993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</row>
    <row r="994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</row>
    <row r="995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</row>
    <row r="996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</row>
    <row r="997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</row>
    <row r="998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</row>
    <row r="999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</row>
    <row r="1000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</row>
  </sheetData>
  <mergeCells count="4">
    <mergeCell ref="A11:I11"/>
    <mergeCell ref="A12:A52"/>
    <mergeCell ref="D12:D52"/>
    <mergeCell ref="G12:G52"/>
  </mergeCells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38"/>
    <col customWidth="1" min="3" max="3" width="9.38"/>
    <col customWidth="1" min="4" max="4" width="21.25"/>
    <col customWidth="1" min="5" max="5" width="10.13"/>
    <col customWidth="1" min="6" max="6" width="15.5"/>
    <col customWidth="1" min="7" max="7" width="6.25"/>
    <col customWidth="1" min="9" max="9" width="11.38"/>
  </cols>
  <sheetData>
    <row r="1">
      <c r="A1" s="149" t="s">
        <v>126</v>
      </c>
      <c r="B1" s="12"/>
      <c r="C1" s="12"/>
      <c r="D1" s="12"/>
      <c r="E1" s="12"/>
      <c r="F1" s="12"/>
      <c r="G1" s="12"/>
      <c r="H1" s="150"/>
      <c r="I1" s="150"/>
      <c r="J1" s="150"/>
      <c r="K1" s="150"/>
      <c r="L1" s="150"/>
      <c r="M1" s="150"/>
    </row>
    <row r="2">
      <c r="A2" s="151" t="s">
        <v>127</v>
      </c>
      <c r="B2" s="152" t="s">
        <v>128</v>
      </c>
      <c r="C2" s="153" t="s">
        <v>129</v>
      </c>
      <c r="D2" s="154" t="s">
        <v>130</v>
      </c>
      <c r="E2" s="152" t="s">
        <v>131</v>
      </c>
      <c r="F2" s="154" t="s">
        <v>132</v>
      </c>
      <c r="G2" s="155" t="s">
        <v>11</v>
      </c>
      <c r="H2" s="156"/>
      <c r="I2" s="156"/>
      <c r="J2" s="156"/>
      <c r="K2" s="150"/>
      <c r="L2" s="150"/>
    </row>
    <row r="3">
      <c r="A3" s="157" t="s">
        <v>57</v>
      </c>
      <c r="B3" s="158" t="s">
        <v>104</v>
      </c>
      <c r="C3" s="159">
        <v>44199.0</v>
      </c>
      <c r="D3" s="160" t="s">
        <v>133</v>
      </c>
      <c r="E3" s="161">
        <v>100.0</v>
      </c>
      <c r="F3" s="162" t="s">
        <v>24</v>
      </c>
      <c r="G3" s="163" t="s">
        <v>26</v>
      </c>
      <c r="H3" s="164"/>
      <c r="J3" s="165"/>
      <c r="K3" s="150"/>
      <c r="L3" s="150"/>
      <c r="M3" s="166"/>
    </row>
    <row r="4">
      <c r="A4" s="167" t="s">
        <v>57</v>
      </c>
      <c r="B4" s="168" t="s">
        <v>104</v>
      </c>
      <c r="C4" s="169">
        <v>44200.0</v>
      </c>
      <c r="D4" s="31" t="s">
        <v>134</v>
      </c>
      <c r="E4" s="170">
        <v>20.0</v>
      </c>
      <c r="F4" s="171" t="s">
        <v>24</v>
      </c>
      <c r="G4" s="163" t="s">
        <v>26</v>
      </c>
      <c r="H4" s="172"/>
      <c r="I4" s="173"/>
      <c r="J4" s="174"/>
      <c r="K4" s="175"/>
      <c r="L4" s="176"/>
      <c r="M4" s="177"/>
    </row>
    <row r="5">
      <c r="A5" s="167" t="s">
        <v>57</v>
      </c>
      <c r="B5" s="168" t="s">
        <v>104</v>
      </c>
      <c r="C5" s="169">
        <v>44202.0</v>
      </c>
      <c r="D5" s="31" t="s">
        <v>135</v>
      </c>
      <c r="E5" s="170">
        <v>76.0</v>
      </c>
      <c r="F5" s="171" t="s">
        <v>30</v>
      </c>
      <c r="G5" s="163" t="s">
        <v>31</v>
      </c>
      <c r="H5" s="172"/>
      <c r="I5" s="173"/>
    </row>
    <row r="6">
      <c r="A6" s="167" t="s">
        <v>57</v>
      </c>
      <c r="B6" s="168" t="s">
        <v>104</v>
      </c>
      <c r="C6" s="169">
        <v>44203.0</v>
      </c>
      <c r="D6" s="31" t="s">
        <v>136</v>
      </c>
      <c r="E6" s="170">
        <v>200.0</v>
      </c>
      <c r="F6" s="171" t="s">
        <v>30</v>
      </c>
      <c r="G6" s="163" t="s">
        <v>31</v>
      </c>
      <c r="H6" s="172"/>
      <c r="I6" s="173"/>
    </row>
    <row r="7">
      <c r="A7" s="167" t="s">
        <v>57</v>
      </c>
      <c r="B7" s="168" t="s">
        <v>87</v>
      </c>
      <c r="C7" s="169">
        <v>44204.0</v>
      </c>
      <c r="D7" s="31" t="s">
        <v>87</v>
      </c>
      <c r="E7" s="170">
        <v>120.0</v>
      </c>
      <c r="F7" s="171" t="s">
        <v>30</v>
      </c>
      <c r="G7" s="178" t="s">
        <v>31</v>
      </c>
      <c r="H7" s="172"/>
      <c r="I7" s="173"/>
    </row>
    <row r="8">
      <c r="A8" s="167" t="s">
        <v>57</v>
      </c>
      <c r="B8" s="168" t="s">
        <v>100</v>
      </c>
      <c r="C8" s="169">
        <v>44206.0</v>
      </c>
      <c r="D8" s="31" t="s">
        <v>137</v>
      </c>
      <c r="E8" s="170">
        <v>70.0</v>
      </c>
      <c r="F8" s="171" t="s">
        <v>24</v>
      </c>
      <c r="G8" s="163" t="s">
        <v>26</v>
      </c>
      <c r="H8" s="172"/>
      <c r="I8" s="173"/>
    </row>
    <row r="9">
      <c r="A9" s="167" t="s">
        <v>57</v>
      </c>
      <c r="B9" s="168" t="s">
        <v>104</v>
      </c>
      <c r="C9" s="169">
        <v>44207.0</v>
      </c>
      <c r="D9" s="31" t="s">
        <v>138</v>
      </c>
      <c r="E9" s="170">
        <v>600.0</v>
      </c>
      <c r="F9" s="171" t="s">
        <v>30</v>
      </c>
      <c r="G9" s="163" t="s">
        <v>31</v>
      </c>
      <c r="H9" s="172"/>
      <c r="I9" s="173"/>
    </row>
    <row r="10">
      <c r="A10" s="167" t="s">
        <v>57</v>
      </c>
      <c r="B10" s="168" t="s">
        <v>104</v>
      </c>
      <c r="C10" s="169">
        <v>44209.0</v>
      </c>
      <c r="D10" s="31" t="s">
        <v>139</v>
      </c>
      <c r="E10" s="170">
        <v>17.45</v>
      </c>
      <c r="F10" s="171" t="s">
        <v>14</v>
      </c>
      <c r="G10" s="163" t="s">
        <v>16</v>
      </c>
      <c r="H10" s="172"/>
      <c r="I10" s="173"/>
    </row>
    <row r="11">
      <c r="A11" s="167" t="s">
        <v>57</v>
      </c>
      <c r="B11" s="168" t="s">
        <v>108</v>
      </c>
      <c r="C11" s="169">
        <v>44210.0</v>
      </c>
      <c r="D11" s="31" t="s">
        <v>140</v>
      </c>
      <c r="E11" s="170">
        <v>0.16</v>
      </c>
      <c r="F11" s="171" t="s">
        <v>14</v>
      </c>
      <c r="G11" s="163" t="s">
        <v>16</v>
      </c>
      <c r="H11" s="172"/>
      <c r="I11" s="173"/>
    </row>
    <row r="12">
      <c r="A12" s="167" t="s">
        <v>57</v>
      </c>
      <c r="B12" s="168" t="s">
        <v>108</v>
      </c>
      <c r="C12" s="169">
        <v>44210.0</v>
      </c>
      <c r="D12" s="31" t="s">
        <v>141</v>
      </c>
      <c r="E12" s="170">
        <v>0.7</v>
      </c>
      <c r="F12" s="171" t="s">
        <v>14</v>
      </c>
      <c r="G12" s="163" t="s">
        <v>19</v>
      </c>
      <c r="H12" s="172"/>
      <c r="I12" s="173"/>
      <c r="O12" s="179"/>
    </row>
    <row r="13">
      <c r="A13" s="167" t="s">
        <v>57</v>
      </c>
      <c r="B13" s="168" t="s">
        <v>87</v>
      </c>
      <c r="C13" s="169">
        <v>44211.0</v>
      </c>
      <c r="D13" s="31" t="s">
        <v>87</v>
      </c>
      <c r="E13" s="170">
        <v>120.0</v>
      </c>
      <c r="F13" s="171" t="s">
        <v>30</v>
      </c>
      <c r="G13" s="163" t="s">
        <v>31</v>
      </c>
      <c r="H13" s="172"/>
      <c r="I13" s="173"/>
      <c r="O13" s="179"/>
    </row>
    <row r="14">
      <c r="A14" s="167" t="s">
        <v>57</v>
      </c>
      <c r="B14" s="168" t="s">
        <v>100</v>
      </c>
      <c r="C14" s="169">
        <v>44218.0</v>
      </c>
      <c r="D14" s="31" t="s">
        <v>142</v>
      </c>
      <c r="E14" s="170">
        <v>50.0</v>
      </c>
      <c r="F14" s="171" t="s">
        <v>14</v>
      </c>
      <c r="G14" s="163" t="s">
        <v>16</v>
      </c>
      <c r="H14" s="172"/>
      <c r="I14" s="173"/>
    </row>
    <row r="15">
      <c r="A15" s="167" t="s">
        <v>57</v>
      </c>
      <c r="B15" s="168" t="s">
        <v>87</v>
      </c>
      <c r="C15" s="169">
        <v>44218.0</v>
      </c>
      <c r="D15" s="31" t="s">
        <v>87</v>
      </c>
      <c r="E15" s="170">
        <v>120.0</v>
      </c>
      <c r="F15" s="171" t="s">
        <v>30</v>
      </c>
      <c r="G15" s="163" t="s">
        <v>31</v>
      </c>
      <c r="H15" s="172"/>
      <c r="I15" s="173"/>
      <c r="O15" s="165"/>
      <c r="P15" s="31"/>
    </row>
    <row r="16">
      <c r="A16" s="167" t="s">
        <v>57</v>
      </c>
      <c r="B16" s="168" t="s">
        <v>104</v>
      </c>
      <c r="C16" s="169">
        <v>44219.0</v>
      </c>
      <c r="D16" s="31" t="s">
        <v>143</v>
      </c>
      <c r="E16" s="170">
        <v>600.0</v>
      </c>
      <c r="F16" s="171" t="s">
        <v>24</v>
      </c>
      <c r="G16" s="163" t="s">
        <v>26</v>
      </c>
      <c r="H16" s="172"/>
      <c r="I16" s="173"/>
      <c r="O16" s="165"/>
      <c r="P16" s="31"/>
    </row>
    <row r="17">
      <c r="A17" s="167" t="s">
        <v>57</v>
      </c>
      <c r="B17" s="168" t="s">
        <v>104</v>
      </c>
      <c r="C17" s="169">
        <v>44221.0</v>
      </c>
      <c r="D17" s="31" t="s">
        <v>144</v>
      </c>
      <c r="E17" s="170">
        <v>112.0</v>
      </c>
      <c r="F17" s="171" t="s">
        <v>30</v>
      </c>
      <c r="G17" s="163" t="s">
        <v>31</v>
      </c>
      <c r="H17" s="172"/>
      <c r="I17" s="173"/>
      <c r="O17" s="165"/>
      <c r="P17" s="31"/>
    </row>
    <row r="18">
      <c r="A18" s="167" t="s">
        <v>57</v>
      </c>
      <c r="B18" s="168" t="s">
        <v>100</v>
      </c>
      <c r="C18" s="169">
        <v>44224.0</v>
      </c>
      <c r="D18" s="31" t="s">
        <v>145</v>
      </c>
      <c r="E18" s="170">
        <v>60.0</v>
      </c>
      <c r="F18" s="171" t="s">
        <v>14</v>
      </c>
      <c r="G18" s="163" t="s">
        <v>16</v>
      </c>
      <c r="H18" s="172"/>
      <c r="I18" s="173"/>
      <c r="O18" s="165"/>
      <c r="P18" s="180"/>
    </row>
    <row r="19">
      <c r="A19" s="167" t="s">
        <v>57</v>
      </c>
      <c r="B19" s="168" t="s">
        <v>87</v>
      </c>
      <c r="C19" s="169">
        <v>44225.0</v>
      </c>
      <c r="D19" s="31" t="s">
        <v>87</v>
      </c>
      <c r="E19" s="170">
        <v>120.0</v>
      </c>
      <c r="F19" s="171" t="s">
        <v>30</v>
      </c>
      <c r="G19" s="163" t="s">
        <v>31</v>
      </c>
      <c r="H19" s="172"/>
      <c r="I19" s="173"/>
      <c r="O19" s="165"/>
      <c r="P19" s="180"/>
    </row>
    <row r="20">
      <c r="A20" s="167" t="s">
        <v>57</v>
      </c>
      <c r="B20" s="168" t="s">
        <v>104</v>
      </c>
      <c r="C20" s="169">
        <v>44225.0</v>
      </c>
      <c r="D20" s="31" t="s">
        <v>146</v>
      </c>
      <c r="E20" s="170">
        <v>280.0</v>
      </c>
      <c r="F20" s="171" t="s">
        <v>30</v>
      </c>
      <c r="G20" s="178" t="s">
        <v>31</v>
      </c>
      <c r="H20" s="172"/>
      <c r="I20" s="173"/>
      <c r="O20" s="181"/>
    </row>
    <row r="21">
      <c r="A21" s="167" t="s">
        <v>57</v>
      </c>
      <c r="B21" s="168"/>
      <c r="C21" s="182"/>
      <c r="D21" s="183"/>
      <c r="E21" s="184"/>
      <c r="F21" s="171"/>
      <c r="G21" s="178"/>
      <c r="H21" s="172"/>
      <c r="I21" s="173"/>
    </row>
    <row r="22">
      <c r="A22" s="167" t="s">
        <v>57</v>
      </c>
      <c r="B22" s="168"/>
      <c r="C22" s="182"/>
      <c r="D22" s="183"/>
      <c r="E22" s="184"/>
      <c r="F22" s="171"/>
      <c r="G22" s="178"/>
      <c r="H22" s="172"/>
      <c r="I22" s="173"/>
    </row>
    <row r="23">
      <c r="A23" s="167" t="s">
        <v>57</v>
      </c>
      <c r="B23" s="168"/>
      <c r="C23" s="182"/>
      <c r="D23" s="183"/>
      <c r="E23" s="184"/>
      <c r="F23" s="171"/>
      <c r="G23" s="178"/>
      <c r="H23" s="172"/>
      <c r="I23" s="173"/>
    </row>
    <row r="24">
      <c r="A24" s="167" t="s">
        <v>57</v>
      </c>
      <c r="B24" s="168"/>
      <c r="C24" s="182"/>
      <c r="D24" s="183"/>
      <c r="E24" s="184"/>
      <c r="F24" s="171"/>
      <c r="G24" s="178"/>
      <c r="H24" s="172"/>
      <c r="I24" s="173"/>
    </row>
    <row r="25">
      <c r="A25" s="167" t="s">
        <v>57</v>
      </c>
      <c r="B25" s="168"/>
      <c r="C25" s="182"/>
      <c r="D25" s="183"/>
      <c r="E25" s="184"/>
      <c r="F25" s="171"/>
      <c r="G25" s="178"/>
      <c r="H25" s="172"/>
      <c r="I25" s="173"/>
    </row>
    <row r="26">
      <c r="A26" s="167" t="s">
        <v>57</v>
      </c>
      <c r="B26" s="168"/>
      <c r="C26" s="182"/>
      <c r="D26" s="183"/>
      <c r="E26" s="184"/>
      <c r="F26" s="171"/>
      <c r="G26" s="178"/>
      <c r="H26" s="172"/>
      <c r="I26" s="173"/>
    </row>
    <row r="27">
      <c r="A27" s="167" t="s">
        <v>57</v>
      </c>
      <c r="B27" s="168"/>
      <c r="C27" s="182"/>
      <c r="D27" s="183"/>
      <c r="E27" s="184"/>
      <c r="F27" s="171"/>
      <c r="G27" s="163"/>
      <c r="H27" s="164"/>
    </row>
    <row r="28">
      <c r="A28" s="167" t="s">
        <v>57</v>
      </c>
      <c r="B28" s="168"/>
      <c r="C28" s="182"/>
      <c r="D28" s="183"/>
      <c r="E28" s="184"/>
      <c r="F28" s="171"/>
      <c r="G28" s="163"/>
      <c r="H28" s="164"/>
    </row>
    <row r="29">
      <c r="A29" s="167" t="s">
        <v>57</v>
      </c>
      <c r="B29" s="168"/>
      <c r="C29" s="182"/>
      <c r="D29" s="183"/>
      <c r="E29" s="184"/>
      <c r="F29" s="171"/>
      <c r="G29" s="163"/>
      <c r="H29" s="164"/>
    </row>
    <row r="30">
      <c r="A30" s="167" t="s">
        <v>57</v>
      </c>
      <c r="B30" s="168"/>
      <c r="C30" s="182"/>
      <c r="D30" s="183"/>
      <c r="E30" s="184"/>
      <c r="F30" s="171"/>
      <c r="G30" s="163"/>
      <c r="H30" s="164"/>
    </row>
    <row r="31">
      <c r="A31" s="167" t="s">
        <v>57</v>
      </c>
      <c r="B31" s="168"/>
      <c r="C31" s="182"/>
      <c r="D31" s="183"/>
      <c r="E31" s="184"/>
      <c r="F31" s="171"/>
      <c r="G31" s="163"/>
      <c r="H31" s="164"/>
    </row>
    <row r="32">
      <c r="A32" s="167" t="s">
        <v>57</v>
      </c>
      <c r="B32" s="168"/>
      <c r="C32" s="182"/>
      <c r="D32" s="183"/>
      <c r="E32" s="184"/>
      <c r="F32" s="171"/>
      <c r="G32" s="163"/>
      <c r="H32" s="164"/>
    </row>
    <row r="33">
      <c r="A33" s="167" t="s">
        <v>57</v>
      </c>
      <c r="B33" s="168"/>
      <c r="C33" s="182"/>
      <c r="D33" s="183"/>
      <c r="E33" s="184"/>
      <c r="F33" s="171"/>
      <c r="G33" s="163"/>
      <c r="H33" s="164"/>
    </row>
    <row r="34">
      <c r="A34" s="167" t="s">
        <v>57</v>
      </c>
      <c r="B34" s="168"/>
      <c r="C34" s="182"/>
      <c r="D34" s="183"/>
      <c r="E34" s="184"/>
      <c r="F34" s="171"/>
      <c r="G34" s="163"/>
      <c r="H34" s="164"/>
      <c r="I34" s="150"/>
    </row>
    <row r="35">
      <c r="A35" s="167" t="s">
        <v>57</v>
      </c>
      <c r="B35" s="168"/>
      <c r="C35" s="182"/>
      <c r="D35" s="183"/>
      <c r="E35" s="184"/>
      <c r="F35" s="171"/>
      <c r="G35" s="163"/>
      <c r="H35" s="164"/>
      <c r="I35" s="150"/>
    </row>
    <row r="36">
      <c r="A36" s="167" t="s">
        <v>57</v>
      </c>
      <c r="B36" s="168"/>
      <c r="C36" s="182"/>
      <c r="D36" s="183"/>
      <c r="E36" s="184"/>
      <c r="F36" s="171"/>
      <c r="G36" s="163"/>
      <c r="H36" s="164"/>
      <c r="I36" s="185"/>
    </row>
    <row r="37">
      <c r="A37" s="167" t="s">
        <v>57</v>
      </c>
      <c r="B37" s="168"/>
      <c r="C37" s="182"/>
      <c r="D37" s="183"/>
      <c r="E37" s="184"/>
      <c r="F37" s="171"/>
      <c r="G37" s="163"/>
      <c r="H37" s="164"/>
      <c r="I37" s="185"/>
    </row>
    <row r="38">
      <c r="A38" s="167" t="s">
        <v>57</v>
      </c>
      <c r="B38" s="168"/>
      <c r="C38" s="182"/>
      <c r="D38" s="183"/>
      <c r="E38" s="184"/>
      <c r="F38" s="171"/>
      <c r="G38" s="163"/>
      <c r="H38" s="164"/>
      <c r="I38" s="185"/>
    </row>
    <row r="39">
      <c r="A39" s="167" t="s">
        <v>57</v>
      </c>
      <c r="B39" s="168"/>
      <c r="C39" s="182"/>
      <c r="D39" s="183"/>
      <c r="E39" s="184"/>
      <c r="F39" s="171"/>
      <c r="G39" s="163"/>
      <c r="H39" s="164"/>
      <c r="I39" s="185"/>
      <c r="J39" s="165"/>
      <c r="K39" s="92"/>
      <c r="L39" s="150"/>
    </row>
    <row r="40">
      <c r="A40" s="167" t="s">
        <v>57</v>
      </c>
      <c r="B40" s="168"/>
      <c r="C40" s="182"/>
      <c r="D40" s="183"/>
      <c r="E40" s="184"/>
      <c r="F40" s="171"/>
      <c r="G40" s="163"/>
      <c r="H40" s="164"/>
      <c r="I40" s="185"/>
      <c r="J40" s="165"/>
      <c r="K40" s="92"/>
      <c r="L40" s="150"/>
    </row>
    <row r="41">
      <c r="A41" s="167" t="s">
        <v>57</v>
      </c>
      <c r="B41" s="168"/>
      <c r="C41" s="182"/>
      <c r="D41" s="183"/>
      <c r="E41" s="184"/>
      <c r="F41" s="171"/>
      <c r="G41" s="163"/>
      <c r="H41" s="164"/>
      <c r="I41" s="186"/>
      <c r="J41" s="165"/>
      <c r="K41" s="150"/>
      <c r="L41" s="150"/>
    </row>
    <row r="42">
      <c r="A42" s="167" t="s">
        <v>57</v>
      </c>
      <c r="B42" s="168"/>
      <c r="C42" s="182"/>
      <c r="D42" s="183"/>
      <c r="E42" s="184"/>
      <c r="F42" s="171"/>
      <c r="G42" s="163"/>
      <c r="H42" s="164"/>
      <c r="I42" s="185"/>
      <c r="J42" s="165"/>
      <c r="K42" s="92"/>
      <c r="L42" s="150"/>
    </row>
    <row r="43">
      <c r="A43" s="187" t="s">
        <v>57</v>
      </c>
      <c r="B43" s="168"/>
      <c r="C43" s="182"/>
      <c r="D43" s="183"/>
      <c r="E43" s="184"/>
      <c r="F43" s="171"/>
      <c r="G43" s="188"/>
      <c r="H43" s="164"/>
      <c r="I43" s="189"/>
      <c r="L43" s="165"/>
    </row>
    <row r="44">
      <c r="B44" s="190"/>
      <c r="C44" s="190"/>
      <c r="D44" s="190"/>
      <c r="E44" s="190"/>
      <c r="F44" s="190"/>
      <c r="G44" s="150"/>
      <c r="H44" s="164"/>
      <c r="I44" s="189"/>
      <c r="L44" s="165"/>
    </row>
    <row r="45">
      <c r="A45" s="157" t="s">
        <v>58</v>
      </c>
      <c r="B45" s="158" t="s">
        <v>104</v>
      </c>
      <c r="C45" s="191">
        <v>44229.0</v>
      </c>
      <c r="D45" s="192" t="s">
        <v>147</v>
      </c>
      <c r="E45" s="193">
        <v>200.0</v>
      </c>
      <c r="F45" s="162" t="s">
        <v>30</v>
      </c>
      <c r="G45" s="194" t="s">
        <v>31</v>
      </c>
      <c r="H45" s="164"/>
      <c r="I45" s="189"/>
      <c r="L45" s="165"/>
    </row>
    <row r="46">
      <c r="A46" s="167" t="s">
        <v>58</v>
      </c>
      <c r="B46" s="168" t="s">
        <v>93</v>
      </c>
      <c r="C46" s="182">
        <v>44232.0</v>
      </c>
      <c r="D46" s="183" t="s">
        <v>148</v>
      </c>
      <c r="E46" s="184">
        <v>400.0</v>
      </c>
      <c r="F46" s="171" t="s">
        <v>30</v>
      </c>
      <c r="G46" s="163" t="s">
        <v>31</v>
      </c>
      <c r="H46" s="164"/>
      <c r="I46" s="195"/>
    </row>
    <row r="47">
      <c r="A47" s="167" t="s">
        <v>58</v>
      </c>
      <c r="B47" s="168" t="s">
        <v>87</v>
      </c>
      <c r="C47" s="182">
        <v>44232.0</v>
      </c>
      <c r="D47" s="183" t="s">
        <v>87</v>
      </c>
      <c r="E47" s="184">
        <v>120.0</v>
      </c>
      <c r="F47" s="171" t="s">
        <v>30</v>
      </c>
      <c r="G47" s="163" t="s">
        <v>31</v>
      </c>
      <c r="H47" s="164"/>
    </row>
    <row r="48">
      <c r="A48" s="167" t="s">
        <v>58</v>
      </c>
      <c r="B48" s="168" t="s">
        <v>104</v>
      </c>
      <c r="C48" s="182">
        <v>44236.0</v>
      </c>
      <c r="D48" s="183" t="s">
        <v>135</v>
      </c>
      <c r="E48" s="184">
        <v>76.0</v>
      </c>
      <c r="F48" s="171" t="s">
        <v>30</v>
      </c>
      <c r="G48" s="163" t="s">
        <v>31</v>
      </c>
      <c r="H48" s="164"/>
    </row>
    <row r="49">
      <c r="A49" s="167" t="s">
        <v>58</v>
      </c>
      <c r="B49" s="168" t="s">
        <v>87</v>
      </c>
      <c r="C49" s="182">
        <v>44239.0</v>
      </c>
      <c r="D49" s="183" t="s">
        <v>87</v>
      </c>
      <c r="E49" s="184">
        <v>120.0</v>
      </c>
      <c r="F49" s="171" t="s">
        <v>30</v>
      </c>
      <c r="G49" s="163" t="s">
        <v>31</v>
      </c>
      <c r="H49" s="164"/>
    </row>
    <row r="50">
      <c r="A50" s="167" t="s">
        <v>58</v>
      </c>
      <c r="B50" s="168" t="s">
        <v>100</v>
      </c>
      <c r="C50" s="182">
        <v>44240.0</v>
      </c>
      <c r="D50" s="183" t="s">
        <v>145</v>
      </c>
      <c r="E50" s="184">
        <v>40.0</v>
      </c>
      <c r="F50" s="171" t="s">
        <v>14</v>
      </c>
      <c r="G50" s="163" t="s">
        <v>16</v>
      </c>
      <c r="H50" s="164"/>
    </row>
    <row r="51">
      <c r="A51" s="167" t="s">
        <v>58</v>
      </c>
      <c r="B51" s="168" t="s">
        <v>104</v>
      </c>
      <c r="C51" s="182">
        <v>44244.0</v>
      </c>
      <c r="D51" s="183" t="s">
        <v>149</v>
      </c>
      <c r="E51" s="184">
        <v>10.0</v>
      </c>
      <c r="F51" s="171" t="s">
        <v>14</v>
      </c>
      <c r="G51" s="163" t="s">
        <v>16</v>
      </c>
      <c r="H51" s="164"/>
      <c r="J51" s="185"/>
    </row>
    <row r="52">
      <c r="A52" s="167" t="s">
        <v>58</v>
      </c>
      <c r="B52" s="168" t="s">
        <v>87</v>
      </c>
      <c r="C52" s="182">
        <v>44246.0</v>
      </c>
      <c r="D52" s="183" t="s">
        <v>87</v>
      </c>
      <c r="E52" s="184">
        <v>120.0</v>
      </c>
      <c r="F52" s="171" t="s">
        <v>30</v>
      </c>
      <c r="G52" s="163" t="s">
        <v>31</v>
      </c>
      <c r="H52" s="164"/>
    </row>
    <row r="53">
      <c r="A53" s="167" t="s">
        <v>58</v>
      </c>
      <c r="B53" s="168" t="s">
        <v>104</v>
      </c>
      <c r="C53" s="182">
        <v>44250.0</v>
      </c>
      <c r="D53" s="183" t="s">
        <v>144</v>
      </c>
      <c r="E53" s="184">
        <v>128.0</v>
      </c>
      <c r="F53" s="171" t="s">
        <v>30</v>
      </c>
      <c r="G53" s="163" t="s">
        <v>31</v>
      </c>
      <c r="H53" s="164"/>
    </row>
    <row r="54">
      <c r="A54" s="167" t="s">
        <v>58</v>
      </c>
      <c r="B54" s="168" t="s">
        <v>87</v>
      </c>
      <c r="C54" s="182">
        <v>44253.0</v>
      </c>
      <c r="D54" s="183" t="s">
        <v>87</v>
      </c>
      <c r="E54" s="184">
        <v>120.0</v>
      </c>
      <c r="F54" s="171" t="s">
        <v>30</v>
      </c>
      <c r="G54" s="163" t="s">
        <v>31</v>
      </c>
      <c r="H54" s="164"/>
    </row>
    <row r="55">
      <c r="A55" s="167" t="s">
        <v>58</v>
      </c>
      <c r="B55" s="168" t="s">
        <v>108</v>
      </c>
      <c r="C55" s="182">
        <v>44255.0</v>
      </c>
      <c r="D55" s="183" t="s">
        <v>150</v>
      </c>
      <c r="E55" s="184">
        <v>0.2</v>
      </c>
      <c r="F55" s="171" t="s">
        <v>14</v>
      </c>
      <c r="G55" s="163" t="s">
        <v>16</v>
      </c>
      <c r="H55" s="164"/>
    </row>
    <row r="56">
      <c r="A56" s="167" t="s">
        <v>58</v>
      </c>
      <c r="B56" s="168" t="s">
        <v>108</v>
      </c>
      <c r="C56" s="182">
        <v>44255.0</v>
      </c>
      <c r="D56" s="183" t="s">
        <v>151</v>
      </c>
      <c r="E56" s="184">
        <v>0.84</v>
      </c>
      <c r="F56" s="171" t="s">
        <v>14</v>
      </c>
      <c r="G56" s="163" t="s">
        <v>19</v>
      </c>
      <c r="H56" s="164"/>
    </row>
    <row r="57">
      <c r="A57" s="167" t="s">
        <v>58</v>
      </c>
      <c r="B57" s="168"/>
      <c r="C57" s="182"/>
      <c r="D57" s="183"/>
      <c r="E57" s="184"/>
      <c r="F57" s="171"/>
      <c r="G57" s="163"/>
      <c r="H57" s="164"/>
    </row>
    <row r="58">
      <c r="A58" s="167" t="s">
        <v>58</v>
      </c>
      <c r="B58" s="168"/>
      <c r="C58" s="182"/>
      <c r="D58" s="183"/>
      <c r="E58" s="184"/>
      <c r="F58" s="171"/>
      <c r="G58" s="163"/>
      <c r="H58" s="164"/>
    </row>
    <row r="59">
      <c r="A59" s="167" t="s">
        <v>58</v>
      </c>
      <c r="B59" s="168"/>
      <c r="C59" s="182"/>
      <c r="D59" s="183"/>
      <c r="E59" s="184"/>
      <c r="F59" s="171"/>
      <c r="G59" s="163"/>
      <c r="H59" s="164"/>
    </row>
    <row r="60">
      <c r="A60" s="167" t="s">
        <v>58</v>
      </c>
      <c r="B60" s="168"/>
      <c r="C60" s="182"/>
      <c r="D60" s="183"/>
      <c r="E60" s="184"/>
      <c r="F60" s="171"/>
      <c r="G60" s="178"/>
      <c r="H60" s="164"/>
      <c r="I60" s="186"/>
    </row>
    <row r="61">
      <c r="A61" s="167" t="s">
        <v>58</v>
      </c>
      <c r="B61" s="168"/>
      <c r="C61" s="182"/>
      <c r="D61" s="183"/>
      <c r="E61" s="184"/>
      <c r="F61" s="171"/>
      <c r="G61" s="178"/>
      <c r="H61" s="164"/>
    </row>
    <row r="62">
      <c r="A62" s="167" t="s">
        <v>58</v>
      </c>
      <c r="B62" s="168"/>
      <c r="C62" s="182"/>
      <c r="D62" s="183"/>
      <c r="E62" s="184"/>
      <c r="F62" s="171"/>
      <c r="G62" s="178"/>
      <c r="H62" s="164"/>
    </row>
    <row r="63">
      <c r="A63" s="167" t="s">
        <v>58</v>
      </c>
      <c r="B63" s="168"/>
      <c r="C63" s="182"/>
      <c r="D63" s="183"/>
      <c r="E63" s="184"/>
      <c r="F63" s="171"/>
      <c r="G63" s="178"/>
      <c r="H63" s="164"/>
    </row>
    <row r="64">
      <c r="A64" s="167" t="s">
        <v>58</v>
      </c>
      <c r="B64" s="168"/>
      <c r="C64" s="182"/>
      <c r="D64" s="183"/>
      <c r="E64" s="184"/>
      <c r="F64" s="171"/>
      <c r="G64" s="178"/>
      <c r="H64" s="164"/>
    </row>
    <row r="65">
      <c r="A65" s="167" t="s">
        <v>58</v>
      </c>
      <c r="B65" s="168"/>
      <c r="C65" s="182"/>
      <c r="D65" s="183"/>
      <c r="E65" s="184"/>
      <c r="F65" s="171"/>
      <c r="G65" s="178"/>
      <c r="H65" s="164"/>
    </row>
    <row r="66">
      <c r="A66" s="167" t="s">
        <v>58</v>
      </c>
      <c r="B66" s="168"/>
      <c r="C66" s="182"/>
      <c r="D66" s="183"/>
      <c r="E66" s="184"/>
      <c r="F66" s="171"/>
      <c r="G66" s="178"/>
      <c r="H66" s="164"/>
    </row>
    <row r="67">
      <c r="A67" s="167" t="s">
        <v>58</v>
      </c>
      <c r="B67" s="168"/>
      <c r="C67" s="182"/>
      <c r="D67" s="183"/>
      <c r="E67" s="184"/>
      <c r="F67" s="171"/>
      <c r="G67" s="178"/>
      <c r="H67" s="164"/>
    </row>
    <row r="68">
      <c r="A68" s="167" t="s">
        <v>58</v>
      </c>
      <c r="B68" s="168"/>
      <c r="C68" s="182"/>
      <c r="D68" s="183"/>
      <c r="E68" s="184"/>
      <c r="F68" s="171"/>
      <c r="G68" s="178"/>
      <c r="H68" s="164"/>
    </row>
    <row r="69">
      <c r="A69" s="167" t="s">
        <v>58</v>
      </c>
      <c r="B69" s="168"/>
      <c r="C69" s="182"/>
      <c r="D69" s="183"/>
      <c r="E69" s="184"/>
      <c r="F69" s="171"/>
      <c r="G69" s="163"/>
      <c r="H69" s="164"/>
    </row>
    <row r="70">
      <c r="A70" s="167" t="s">
        <v>58</v>
      </c>
      <c r="B70" s="168"/>
      <c r="C70" s="182"/>
      <c r="D70" s="183"/>
      <c r="E70" s="184"/>
      <c r="F70" s="171"/>
      <c r="G70" s="163"/>
      <c r="H70" s="164"/>
    </row>
    <row r="71">
      <c r="A71" s="167" t="s">
        <v>58</v>
      </c>
      <c r="B71" s="168"/>
      <c r="C71" s="182"/>
      <c r="D71" s="183"/>
      <c r="E71" s="184"/>
      <c r="F71" s="171"/>
      <c r="G71" s="163"/>
      <c r="H71" s="164"/>
    </row>
    <row r="72">
      <c r="A72" s="167" t="s">
        <v>58</v>
      </c>
      <c r="B72" s="168"/>
      <c r="C72" s="182"/>
      <c r="D72" s="183"/>
      <c r="E72" s="184"/>
      <c r="F72" s="171"/>
      <c r="G72" s="163"/>
      <c r="H72" s="164"/>
    </row>
    <row r="73">
      <c r="A73" s="167" t="s">
        <v>58</v>
      </c>
      <c r="B73" s="168"/>
      <c r="C73" s="182"/>
      <c r="D73" s="183"/>
      <c r="E73" s="184"/>
      <c r="F73" s="171"/>
      <c r="G73" s="163"/>
      <c r="H73" s="164"/>
    </row>
    <row r="74">
      <c r="A74" s="167" t="s">
        <v>58</v>
      </c>
      <c r="B74" s="168"/>
      <c r="C74" s="182"/>
      <c r="D74" s="183"/>
      <c r="E74" s="184"/>
      <c r="F74" s="171"/>
      <c r="G74" s="163"/>
      <c r="H74" s="164"/>
    </row>
    <row r="75">
      <c r="A75" s="167" t="s">
        <v>58</v>
      </c>
      <c r="B75" s="168"/>
      <c r="C75" s="182"/>
      <c r="D75" s="183"/>
      <c r="E75" s="184"/>
      <c r="F75" s="171"/>
      <c r="G75" s="163"/>
      <c r="H75" s="164"/>
    </row>
    <row r="76">
      <c r="A76" s="167" t="s">
        <v>58</v>
      </c>
      <c r="B76" s="168"/>
      <c r="C76" s="182"/>
      <c r="D76" s="183"/>
      <c r="E76" s="184"/>
      <c r="F76" s="171"/>
      <c r="G76" s="163"/>
      <c r="H76" s="164"/>
    </row>
    <row r="77">
      <c r="A77" s="167" t="s">
        <v>58</v>
      </c>
      <c r="B77" s="168"/>
      <c r="C77" s="182"/>
      <c r="D77" s="183"/>
      <c r="E77" s="184"/>
      <c r="F77" s="171"/>
      <c r="G77" s="163"/>
      <c r="H77" s="164"/>
    </row>
    <row r="78">
      <c r="A78" s="167" t="s">
        <v>58</v>
      </c>
      <c r="B78" s="168"/>
      <c r="C78" s="182"/>
      <c r="D78" s="183"/>
      <c r="E78" s="184"/>
      <c r="F78" s="171"/>
      <c r="G78" s="163"/>
      <c r="H78" s="164"/>
    </row>
    <row r="79">
      <c r="A79" s="167" t="s">
        <v>58</v>
      </c>
      <c r="B79" s="168"/>
      <c r="C79" s="182"/>
      <c r="D79" s="183"/>
      <c r="E79" s="184"/>
      <c r="F79" s="171"/>
      <c r="G79" s="163"/>
      <c r="H79" s="164"/>
    </row>
    <row r="80">
      <c r="A80" s="167" t="s">
        <v>58</v>
      </c>
      <c r="B80" s="168"/>
      <c r="C80" s="182"/>
      <c r="D80" s="183"/>
      <c r="E80" s="184"/>
      <c r="F80" s="171"/>
      <c r="G80" s="163"/>
      <c r="H80" s="164"/>
    </row>
    <row r="81">
      <c r="A81" s="167" t="s">
        <v>58</v>
      </c>
      <c r="B81" s="168"/>
      <c r="C81" s="182"/>
      <c r="D81" s="183"/>
      <c r="E81" s="184"/>
      <c r="F81" s="171"/>
      <c r="G81" s="163"/>
      <c r="H81" s="164"/>
    </row>
    <row r="82">
      <c r="A82" s="167" t="s">
        <v>58</v>
      </c>
      <c r="B82" s="168"/>
      <c r="C82" s="182"/>
      <c r="D82" s="183"/>
      <c r="E82" s="184"/>
      <c r="F82" s="171"/>
      <c r="G82" s="163"/>
      <c r="H82" s="164"/>
    </row>
    <row r="83">
      <c r="A83" s="167" t="s">
        <v>58</v>
      </c>
      <c r="B83" s="168"/>
      <c r="C83" s="182"/>
      <c r="D83" s="183"/>
      <c r="E83" s="184"/>
      <c r="F83" s="171"/>
      <c r="G83" s="163"/>
      <c r="H83" s="164"/>
    </row>
    <row r="84">
      <c r="A84" s="167" t="s">
        <v>58</v>
      </c>
      <c r="B84" s="168"/>
      <c r="C84" s="182"/>
      <c r="D84" s="183"/>
      <c r="E84" s="184"/>
      <c r="F84" s="171"/>
      <c r="G84" s="163"/>
      <c r="H84" s="164"/>
    </row>
    <row r="85">
      <c r="A85" s="187" t="s">
        <v>58</v>
      </c>
      <c r="B85" s="196"/>
      <c r="C85" s="197"/>
      <c r="D85" s="198"/>
      <c r="E85" s="199"/>
      <c r="F85" s="200"/>
      <c r="G85" s="188"/>
      <c r="H85" s="164"/>
    </row>
    <row r="86">
      <c r="B86" s="201"/>
      <c r="C86" s="202"/>
      <c r="D86" s="203"/>
      <c r="E86" s="204"/>
      <c r="F86" s="150"/>
      <c r="G86" s="150"/>
      <c r="H86" s="164"/>
    </row>
    <row r="87">
      <c r="A87" s="157" t="s">
        <v>59</v>
      </c>
      <c r="B87" s="158" t="s">
        <v>104</v>
      </c>
      <c r="C87" s="191">
        <v>44258.0</v>
      </c>
      <c r="D87" s="192" t="s">
        <v>152</v>
      </c>
      <c r="E87" s="205">
        <v>60.0</v>
      </c>
      <c r="F87" s="162" t="s">
        <v>24</v>
      </c>
      <c r="G87" s="194" t="s">
        <v>26</v>
      </c>
      <c r="H87" s="164"/>
      <c r="N87" s="186"/>
    </row>
    <row r="88">
      <c r="A88" s="167" t="s">
        <v>59</v>
      </c>
      <c r="B88" s="168" t="s">
        <v>104</v>
      </c>
      <c r="C88" s="182">
        <v>44258.0</v>
      </c>
      <c r="D88" s="183" t="s">
        <v>136</v>
      </c>
      <c r="E88" s="184">
        <v>200.0</v>
      </c>
      <c r="F88" s="171" t="s">
        <v>24</v>
      </c>
      <c r="G88" s="163" t="s">
        <v>26</v>
      </c>
      <c r="H88" s="164"/>
      <c r="N88" s="186"/>
    </row>
    <row r="89">
      <c r="A89" s="167" t="s">
        <v>59</v>
      </c>
      <c r="B89" s="168" t="s">
        <v>93</v>
      </c>
      <c r="C89" s="182">
        <v>44259.0</v>
      </c>
      <c r="D89" s="183" t="s">
        <v>148</v>
      </c>
      <c r="E89" s="184">
        <v>400.0</v>
      </c>
      <c r="F89" s="171" t="s">
        <v>30</v>
      </c>
      <c r="G89" s="163" t="s">
        <v>31</v>
      </c>
      <c r="H89" s="164"/>
      <c r="N89" s="186"/>
    </row>
    <row r="90">
      <c r="A90" s="167" t="s">
        <v>59</v>
      </c>
      <c r="B90" s="168" t="s">
        <v>104</v>
      </c>
      <c r="C90" s="182">
        <v>44260.0</v>
      </c>
      <c r="D90" s="183" t="s">
        <v>135</v>
      </c>
      <c r="E90" s="184">
        <v>76.0</v>
      </c>
      <c r="F90" s="171" t="s">
        <v>30</v>
      </c>
      <c r="G90" s="163" t="s">
        <v>31</v>
      </c>
      <c r="H90" s="164"/>
      <c r="N90" s="195"/>
      <c r="O90" s="150"/>
      <c r="P90" s="150"/>
      <c r="Q90" s="176"/>
      <c r="R90" s="176"/>
    </row>
    <row r="91">
      <c r="A91" s="167" t="s">
        <v>59</v>
      </c>
      <c r="B91" s="168" t="s">
        <v>87</v>
      </c>
      <c r="C91" s="182">
        <v>44260.0</v>
      </c>
      <c r="D91" s="183" t="s">
        <v>87</v>
      </c>
      <c r="E91" s="184">
        <v>120.0</v>
      </c>
      <c r="F91" s="171" t="s">
        <v>30</v>
      </c>
      <c r="G91" s="163" t="s">
        <v>31</v>
      </c>
      <c r="H91" s="164"/>
      <c r="N91" s="195"/>
      <c r="O91" s="150"/>
      <c r="P91" s="150"/>
      <c r="Q91" s="176"/>
      <c r="R91" s="176"/>
    </row>
    <row r="92">
      <c r="A92" s="167" t="s">
        <v>59</v>
      </c>
      <c r="B92" s="168" t="s">
        <v>104</v>
      </c>
      <c r="C92" s="182">
        <v>44267.0</v>
      </c>
      <c r="D92" s="183" t="s">
        <v>153</v>
      </c>
      <c r="E92" s="184">
        <v>600.0</v>
      </c>
      <c r="F92" s="171" t="s">
        <v>24</v>
      </c>
      <c r="G92" s="163" t="s">
        <v>26</v>
      </c>
      <c r="H92" s="164"/>
      <c r="N92" s="206"/>
      <c r="Q92" s="165"/>
    </row>
    <row r="93">
      <c r="A93" s="167" t="s">
        <v>59</v>
      </c>
      <c r="B93" s="168" t="s">
        <v>100</v>
      </c>
      <c r="C93" s="182">
        <v>44267.0</v>
      </c>
      <c r="D93" s="183" t="s">
        <v>154</v>
      </c>
      <c r="E93" s="184">
        <v>60.0</v>
      </c>
      <c r="F93" s="171" t="s">
        <v>14</v>
      </c>
      <c r="G93" s="163" t="s">
        <v>16</v>
      </c>
      <c r="H93" s="164"/>
      <c r="N93" s="186"/>
    </row>
    <row r="94">
      <c r="A94" s="167" t="s">
        <v>59</v>
      </c>
      <c r="B94" s="168" t="s">
        <v>87</v>
      </c>
      <c r="C94" s="182">
        <v>44270.0</v>
      </c>
      <c r="D94" s="183" t="s">
        <v>87</v>
      </c>
      <c r="E94" s="184">
        <v>120.0</v>
      </c>
      <c r="F94" s="171" t="s">
        <v>30</v>
      </c>
      <c r="G94" s="163" t="s">
        <v>31</v>
      </c>
      <c r="H94" s="164"/>
      <c r="N94" s="186"/>
    </row>
    <row r="95">
      <c r="A95" s="167" t="s">
        <v>59</v>
      </c>
      <c r="B95" s="168" t="s">
        <v>87</v>
      </c>
      <c r="C95" s="182">
        <v>44274.0</v>
      </c>
      <c r="D95" s="183" t="s">
        <v>87</v>
      </c>
      <c r="E95" s="184">
        <v>120.0</v>
      </c>
      <c r="F95" s="171" t="s">
        <v>30</v>
      </c>
      <c r="G95" s="163" t="s">
        <v>31</v>
      </c>
      <c r="H95" s="164"/>
      <c r="N95" s="186"/>
    </row>
    <row r="96">
      <c r="A96" s="167" t="s">
        <v>59</v>
      </c>
      <c r="B96" s="168" t="s">
        <v>104</v>
      </c>
      <c r="C96" s="182">
        <v>44277.0</v>
      </c>
      <c r="D96" s="183" t="s">
        <v>144</v>
      </c>
      <c r="E96" s="184">
        <v>162.0</v>
      </c>
      <c r="F96" s="171" t="s">
        <v>14</v>
      </c>
      <c r="G96" s="163" t="s">
        <v>16</v>
      </c>
      <c r="H96" s="164"/>
      <c r="J96" s="186"/>
    </row>
    <row r="97">
      <c r="A97" s="167" t="s">
        <v>59</v>
      </c>
      <c r="B97" s="168" t="s">
        <v>87</v>
      </c>
      <c r="C97" s="182">
        <v>44283.0</v>
      </c>
      <c r="D97" s="183" t="s">
        <v>155</v>
      </c>
      <c r="E97" s="184">
        <v>120.0</v>
      </c>
      <c r="F97" s="171" t="s">
        <v>14</v>
      </c>
      <c r="G97" s="163" t="s">
        <v>16</v>
      </c>
      <c r="H97" s="164"/>
      <c r="J97" s="186"/>
    </row>
    <row r="98">
      <c r="A98" s="167" t="s">
        <v>59</v>
      </c>
      <c r="B98" s="168" t="s">
        <v>104</v>
      </c>
      <c r="C98" s="182">
        <v>44285.0</v>
      </c>
      <c r="D98" s="183" t="s">
        <v>156</v>
      </c>
      <c r="E98" s="184">
        <v>366.0</v>
      </c>
      <c r="F98" s="171" t="s">
        <v>14</v>
      </c>
      <c r="G98" s="163" t="s">
        <v>16</v>
      </c>
      <c r="H98" s="164"/>
    </row>
    <row r="99">
      <c r="A99" s="167" t="s">
        <v>59</v>
      </c>
      <c r="B99" s="168" t="s">
        <v>108</v>
      </c>
      <c r="C99" s="182">
        <v>44286.0</v>
      </c>
      <c r="D99" s="183" t="s">
        <v>140</v>
      </c>
      <c r="E99" s="184">
        <v>0.3</v>
      </c>
      <c r="F99" s="171" t="s">
        <v>14</v>
      </c>
      <c r="G99" s="163" t="s">
        <v>16</v>
      </c>
      <c r="H99" s="164"/>
    </row>
    <row r="100">
      <c r="A100" s="167" t="s">
        <v>59</v>
      </c>
      <c r="B100" s="168" t="s">
        <v>108</v>
      </c>
      <c r="C100" s="182">
        <v>44286.0</v>
      </c>
      <c r="D100" s="183" t="s">
        <v>151</v>
      </c>
      <c r="E100" s="184">
        <v>0.51</v>
      </c>
      <c r="F100" s="171" t="s">
        <v>14</v>
      </c>
      <c r="G100" s="163" t="s">
        <v>19</v>
      </c>
      <c r="H100" s="164"/>
    </row>
    <row r="101">
      <c r="A101" s="167" t="s">
        <v>59</v>
      </c>
      <c r="B101" s="168" t="s">
        <v>108</v>
      </c>
      <c r="C101" s="182">
        <v>44286.0</v>
      </c>
      <c r="D101" s="183" t="s">
        <v>157</v>
      </c>
      <c r="E101" s="184">
        <v>0.3</v>
      </c>
      <c r="F101" s="171" t="s">
        <v>37</v>
      </c>
      <c r="G101" s="163" t="s">
        <v>39</v>
      </c>
      <c r="H101" s="164"/>
    </row>
    <row r="102">
      <c r="A102" s="167" t="s">
        <v>59</v>
      </c>
      <c r="B102" s="168"/>
      <c r="C102" s="182"/>
      <c r="D102" s="183"/>
      <c r="E102" s="184"/>
      <c r="F102" s="171"/>
      <c r="G102" s="178"/>
      <c r="H102" s="164"/>
    </row>
    <row r="103">
      <c r="A103" s="167" t="s">
        <v>59</v>
      </c>
      <c r="B103" s="168"/>
      <c r="C103" s="182"/>
      <c r="D103" s="183"/>
      <c r="E103" s="184"/>
      <c r="F103" s="171"/>
      <c r="G103" s="178"/>
      <c r="H103" s="164"/>
    </row>
    <row r="104">
      <c r="A104" s="167" t="s">
        <v>59</v>
      </c>
      <c r="B104" s="168"/>
      <c r="C104" s="182"/>
      <c r="D104" s="183"/>
      <c r="E104" s="184"/>
      <c r="F104" s="171"/>
      <c r="G104" s="178"/>
      <c r="H104" s="164"/>
    </row>
    <row r="105">
      <c r="A105" s="167" t="s">
        <v>59</v>
      </c>
      <c r="B105" s="168"/>
      <c r="C105" s="182"/>
      <c r="D105" s="183"/>
      <c r="E105" s="184"/>
      <c r="F105" s="171"/>
      <c r="G105" s="178"/>
      <c r="H105" s="164"/>
    </row>
    <row r="106">
      <c r="A106" s="167" t="s">
        <v>59</v>
      </c>
      <c r="B106" s="168"/>
      <c r="C106" s="182"/>
      <c r="D106" s="183"/>
      <c r="E106" s="184"/>
      <c r="F106" s="171"/>
      <c r="G106" s="178"/>
      <c r="H106" s="164"/>
    </row>
    <row r="107">
      <c r="A107" s="167" t="s">
        <v>59</v>
      </c>
      <c r="B107" s="168"/>
      <c r="C107" s="182"/>
      <c r="D107" s="183"/>
      <c r="E107" s="184"/>
      <c r="F107" s="171"/>
      <c r="G107" s="178"/>
      <c r="H107" s="164"/>
    </row>
    <row r="108">
      <c r="A108" s="167" t="s">
        <v>59</v>
      </c>
      <c r="B108" s="168"/>
      <c r="C108" s="182"/>
      <c r="D108" s="183"/>
      <c r="E108" s="184"/>
      <c r="F108" s="171"/>
      <c r="G108" s="178"/>
      <c r="H108" s="164"/>
    </row>
    <row r="109">
      <c r="A109" s="167" t="s">
        <v>59</v>
      </c>
      <c r="B109" s="168"/>
      <c r="C109" s="182"/>
      <c r="D109" s="183"/>
      <c r="E109" s="184"/>
      <c r="F109" s="171"/>
      <c r="G109" s="178"/>
      <c r="H109" s="164"/>
    </row>
    <row r="110">
      <c r="A110" s="167" t="s">
        <v>59</v>
      </c>
      <c r="B110" s="168"/>
      <c r="C110" s="182"/>
      <c r="D110" s="183"/>
      <c r="E110" s="184"/>
      <c r="F110" s="171"/>
      <c r="G110" s="178"/>
      <c r="H110" s="164"/>
    </row>
    <row r="111">
      <c r="A111" s="167" t="s">
        <v>59</v>
      </c>
      <c r="B111" s="168"/>
      <c r="C111" s="182"/>
      <c r="D111" s="183"/>
      <c r="E111" s="184"/>
      <c r="F111" s="171"/>
      <c r="G111" s="163"/>
      <c r="H111" s="164"/>
    </row>
    <row r="112">
      <c r="A112" s="167" t="s">
        <v>59</v>
      </c>
      <c r="B112" s="168"/>
      <c r="C112" s="182"/>
      <c r="D112" s="183"/>
      <c r="E112" s="184"/>
      <c r="F112" s="171"/>
      <c r="G112" s="163"/>
      <c r="H112" s="164"/>
    </row>
    <row r="113">
      <c r="A113" s="167" t="s">
        <v>59</v>
      </c>
      <c r="B113" s="168"/>
      <c r="C113" s="182"/>
      <c r="D113" s="183"/>
      <c r="E113" s="184"/>
      <c r="F113" s="171"/>
      <c r="G113" s="163"/>
      <c r="H113" s="164"/>
    </row>
    <row r="114">
      <c r="A114" s="167" t="s">
        <v>59</v>
      </c>
      <c r="B114" s="168"/>
      <c r="C114" s="182"/>
      <c r="D114" s="183"/>
      <c r="E114" s="184"/>
      <c r="F114" s="171"/>
      <c r="G114" s="163"/>
      <c r="H114" s="164"/>
    </row>
    <row r="115">
      <c r="A115" s="167" t="s">
        <v>59</v>
      </c>
      <c r="B115" s="168"/>
      <c r="C115" s="182"/>
      <c r="D115" s="183"/>
      <c r="E115" s="184"/>
      <c r="F115" s="171"/>
      <c r="G115" s="163"/>
      <c r="H115" s="164"/>
    </row>
    <row r="116">
      <c r="A116" s="167" t="s">
        <v>59</v>
      </c>
      <c r="B116" s="168"/>
      <c r="C116" s="182"/>
      <c r="D116" s="183"/>
      <c r="E116" s="184"/>
      <c r="F116" s="171"/>
      <c r="G116" s="163"/>
      <c r="H116" s="164"/>
    </row>
    <row r="117">
      <c r="A117" s="167" t="s">
        <v>59</v>
      </c>
      <c r="B117" s="168"/>
      <c r="C117" s="182"/>
      <c r="D117" s="183"/>
      <c r="E117" s="184"/>
      <c r="F117" s="171"/>
      <c r="G117" s="163"/>
      <c r="H117" s="164"/>
    </row>
    <row r="118">
      <c r="A118" s="167" t="s">
        <v>59</v>
      </c>
      <c r="B118" s="168"/>
      <c r="C118" s="182"/>
      <c r="D118" s="183"/>
      <c r="E118" s="184"/>
      <c r="F118" s="171"/>
      <c r="G118" s="163"/>
      <c r="H118" s="164"/>
    </row>
    <row r="119">
      <c r="A119" s="167" t="s">
        <v>59</v>
      </c>
      <c r="B119" s="168"/>
      <c r="C119" s="182"/>
      <c r="D119" s="183"/>
      <c r="E119" s="184"/>
      <c r="F119" s="171"/>
      <c r="G119" s="163"/>
      <c r="H119" s="164"/>
    </row>
    <row r="120">
      <c r="A120" s="167" t="s">
        <v>59</v>
      </c>
      <c r="B120" s="168"/>
      <c r="C120" s="182"/>
      <c r="D120" s="183"/>
      <c r="E120" s="184"/>
      <c r="F120" s="171"/>
      <c r="G120" s="163"/>
      <c r="H120" s="164"/>
    </row>
    <row r="121">
      <c r="A121" s="167" t="s">
        <v>59</v>
      </c>
      <c r="B121" s="168"/>
      <c r="C121" s="182"/>
      <c r="D121" s="183"/>
      <c r="E121" s="184"/>
      <c r="F121" s="171"/>
      <c r="G121" s="163"/>
      <c r="H121" s="164"/>
    </row>
    <row r="122">
      <c r="A122" s="167" t="s">
        <v>59</v>
      </c>
      <c r="B122" s="168"/>
      <c r="C122" s="182"/>
      <c r="D122" s="183"/>
      <c r="E122" s="184"/>
      <c r="F122" s="171"/>
      <c r="G122" s="163"/>
      <c r="H122" s="164"/>
    </row>
    <row r="123">
      <c r="A123" s="167" t="s">
        <v>59</v>
      </c>
      <c r="B123" s="168"/>
      <c r="C123" s="182"/>
      <c r="D123" s="183"/>
      <c r="E123" s="184"/>
      <c r="F123" s="171"/>
      <c r="G123" s="163"/>
      <c r="H123" s="164"/>
    </row>
    <row r="124">
      <c r="A124" s="167" t="s">
        <v>59</v>
      </c>
      <c r="B124" s="168"/>
      <c r="C124" s="182"/>
      <c r="D124" s="183"/>
      <c r="E124" s="184"/>
      <c r="F124" s="171"/>
      <c r="G124" s="163"/>
      <c r="H124" s="164"/>
    </row>
    <row r="125">
      <c r="A125" s="167" t="s">
        <v>59</v>
      </c>
      <c r="B125" s="168"/>
      <c r="C125" s="182"/>
      <c r="D125" s="183"/>
      <c r="E125" s="184"/>
      <c r="F125" s="171"/>
      <c r="G125" s="163"/>
      <c r="H125" s="164"/>
    </row>
    <row r="126">
      <c r="A126" s="167" t="s">
        <v>59</v>
      </c>
      <c r="B126" s="168"/>
      <c r="C126" s="182"/>
      <c r="D126" s="183"/>
      <c r="E126" s="184"/>
      <c r="F126" s="171"/>
      <c r="G126" s="163"/>
      <c r="H126" s="164"/>
    </row>
    <row r="127">
      <c r="A127" s="187" t="s">
        <v>59</v>
      </c>
      <c r="B127" s="196"/>
      <c r="C127" s="197"/>
      <c r="D127" s="198"/>
      <c r="E127" s="199"/>
      <c r="F127" s="200"/>
      <c r="G127" s="188"/>
      <c r="H127" s="164"/>
    </row>
    <row r="128">
      <c r="B128" s="201"/>
      <c r="C128" s="202"/>
      <c r="D128" s="203"/>
      <c r="E128" s="204"/>
      <c r="F128" s="150"/>
      <c r="G128" s="150"/>
      <c r="H128" s="164"/>
    </row>
    <row r="129">
      <c r="A129" s="157" t="s">
        <v>60</v>
      </c>
      <c r="B129" s="158" t="s">
        <v>87</v>
      </c>
      <c r="C129" s="191">
        <v>44289.0</v>
      </c>
      <c r="D129" s="192" t="s">
        <v>87</v>
      </c>
      <c r="E129" s="205">
        <v>120.0</v>
      </c>
      <c r="F129" s="162" t="s">
        <v>24</v>
      </c>
      <c r="G129" s="194" t="s">
        <v>26</v>
      </c>
      <c r="H129" s="164"/>
    </row>
    <row r="130">
      <c r="A130" s="167" t="s">
        <v>60</v>
      </c>
      <c r="B130" s="168" t="s">
        <v>104</v>
      </c>
      <c r="C130" s="182">
        <v>44289.0</v>
      </c>
      <c r="D130" s="183" t="s">
        <v>158</v>
      </c>
      <c r="E130" s="207">
        <v>300.0</v>
      </c>
      <c r="F130" s="171" t="s">
        <v>24</v>
      </c>
      <c r="G130" s="163" t="s">
        <v>26</v>
      </c>
      <c r="H130" s="164"/>
    </row>
    <row r="131">
      <c r="A131" s="167" t="s">
        <v>60</v>
      </c>
      <c r="B131" s="168" t="s">
        <v>104</v>
      </c>
      <c r="C131" s="182">
        <v>44291.0</v>
      </c>
      <c r="D131" s="183" t="s">
        <v>159</v>
      </c>
      <c r="E131" s="207">
        <v>84.0</v>
      </c>
      <c r="F131" s="171" t="s">
        <v>14</v>
      </c>
      <c r="G131" s="163" t="s">
        <v>16</v>
      </c>
      <c r="H131" s="164"/>
    </row>
    <row r="132">
      <c r="A132" s="167" t="s">
        <v>60</v>
      </c>
      <c r="B132" s="168" t="s">
        <v>100</v>
      </c>
      <c r="C132" s="182">
        <v>44293.0</v>
      </c>
      <c r="D132" s="183" t="s">
        <v>160</v>
      </c>
      <c r="E132" s="207">
        <v>76.0</v>
      </c>
      <c r="F132" s="171" t="s">
        <v>24</v>
      </c>
      <c r="G132" s="163" t="s">
        <v>26</v>
      </c>
      <c r="H132" s="164"/>
    </row>
    <row r="133">
      <c r="A133" s="167" t="s">
        <v>60</v>
      </c>
      <c r="B133" s="168" t="s">
        <v>93</v>
      </c>
      <c r="C133" s="182">
        <v>44294.0</v>
      </c>
      <c r="D133" s="183" t="s">
        <v>148</v>
      </c>
      <c r="E133" s="207">
        <v>400.0</v>
      </c>
      <c r="F133" s="171" t="s">
        <v>14</v>
      </c>
      <c r="G133" s="163" t="s">
        <v>16</v>
      </c>
      <c r="H133" s="164"/>
    </row>
    <row r="134">
      <c r="A134" s="167" t="s">
        <v>60</v>
      </c>
      <c r="B134" s="168" t="s">
        <v>108</v>
      </c>
      <c r="C134" s="208">
        <v>44293.0</v>
      </c>
      <c r="D134" s="183" t="s">
        <v>157</v>
      </c>
      <c r="E134" s="207">
        <v>0.31</v>
      </c>
      <c r="F134" s="171" t="s">
        <v>37</v>
      </c>
      <c r="G134" s="163" t="s">
        <v>39</v>
      </c>
      <c r="H134" s="164"/>
    </row>
    <row r="135">
      <c r="A135" s="167" t="s">
        <v>60</v>
      </c>
      <c r="B135" s="168" t="s">
        <v>108</v>
      </c>
      <c r="C135" s="182">
        <v>44293.0</v>
      </c>
      <c r="D135" s="183" t="s">
        <v>161</v>
      </c>
      <c r="E135" s="207">
        <v>0.17</v>
      </c>
      <c r="F135" s="171" t="s">
        <v>14</v>
      </c>
      <c r="G135" s="163" t="s">
        <v>19</v>
      </c>
      <c r="H135" s="164"/>
    </row>
    <row r="136">
      <c r="A136" s="167" t="s">
        <v>60</v>
      </c>
      <c r="B136" s="168" t="s">
        <v>87</v>
      </c>
      <c r="C136" s="182">
        <v>44295.0</v>
      </c>
      <c r="D136" s="183" t="s">
        <v>87</v>
      </c>
      <c r="E136" s="207">
        <v>130.0</v>
      </c>
      <c r="F136" s="171" t="s">
        <v>14</v>
      </c>
      <c r="G136" s="163" t="s">
        <v>16</v>
      </c>
      <c r="H136" s="164"/>
    </row>
    <row r="137">
      <c r="A137" s="167" t="s">
        <v>60</v>
      </c>
      <c r="B137" s="168" t="s">
        <v>104</v>
      </c>
      <c r="C137" s="182">
        <v>44298.0</v>
      </c>
      <c r="D137" s="183" t="s">
        <v>162</v>
      </c>
      <c r="E137" s="207">
        <v>8.15</v>
      </c>
      <c r="F137" s="171" t="s">
        <v>30</v>
      </c>
      <c r="G137" s="163" t="s">
        <v>31</v>
      </c>
      <c r="H137" s="164"/>
    </row>
    <row r="138">
      <c r="A138" s="167" t="s">
        <v>60</v>
      </c>
      <c r="B138" s="168" t="s">
        <v>87</v>
      </c>
      <c r="C138" s="182">
        <v>44301.0</v>
      </c>
      <c r="D138" s="183" t="s">
        <v>87</v>
      </c>
      <c r="E138" s="184">
        <v>130.0</v>
      </c>
      <c r="F138" s="171" t="s">
        <v>30</v>
      </c>
      <c r="G138" s="163" t="s">
        <v>31</v>
      </c>
      <c r="H138" s="164"/>
    </row>
    <row r="139">
      <c r="A139" s="167" t="s">
        <v>60</v>
      </c>
      <c r="B139" s="168" t="s">
        <v>87</v>
      </c>
      <c r="C139" s="182">
        <v>44309.0</v>
      </c>
      <c r="D139" s="183" t="s">
        <v>87</v>
      </c>
      <c r="E139" s="184">
        <v>130.0</v>
      </c>
      <c r="F139" s="171" t="s">
        <v>14</v>
      </c>
      <c r="G139" s="163" t="s">
        <v>16</v>
      </c>
      <c r="H139" s="164"/>
    </row>
    <row r="140">
      <c r="A140" s="167" t="s">
        <v>60</v>
      </c>
      <c r="B140" s="168" t="s">
        <v>87</v>
      </c>
      <c r="C140" s="182">
        <v>44316.0</v>
      </c>
      <c r="D140" s="183" t="s">
        <v>87</v>
      </c>
      <c r="E140" s="184">
        <v>130.0</v>
      </c>
      <c r="F140" s="171" t="s">
        <v>14</v>
      </c>
      <c r="G140" s="163" t="s">
        <v>16</v>
      </c>
      <c r="H140" s="164"/>
    </row>
    <row r="141">
      <c r="A141" s="167" t="s">
        <v>60</v>
      </c>
      <c r="B141" s="168" t="s">
        <v>104</v>
      </c>
      <c r="C141" s="182">
        <v>44316.0</v>
      </c>
      <c r="D141" s="183" t="s">
        <v>146</v>
      </c>
      <c r="E141" s="184">
        <v>280.0</v>
      </c>
      <c r="F141" s="171" t="s">
        <v>14</v>
      </c>
      <c r="G141" s="163" t="s">
        <v>16</v>
      </c>
      <c r="H141" s="164"/>
    </row>
    <row r="142">
      <c r="A142" s="167" t="s">
        <v>60</v>
      </c>
      <c r="B142" s="168" t="s">
        <v>108</v>
      </c>
      <c r="C142" s="182">
        <v>44316.0</v>
      </c>
      <c r="D142" s="183" t="s">
        <v>163</v>
      </c>
      <c r="E142" s="184">
        <v>0.47</v>
      </c>
      <c r="F142" s="171" t="s">
        <v>14</v>
      </c>
      <c r="G142" s="163" t="s">
        <v>16</v>
      </c>
      <c r="H142" s="164"/>
    </row>
    <row r="143">
      <c r="A143" s="167" t="s">
        <v>60</v>
      </c>
      <c r="B143" s="168"/>
      <c r="C143" s="182"/>
      <c r="D143" s="183"/>
      <c r="E143" s="184"/>
      <c r="F143" s="171"/>
      <c r="G143" s="163"/>
      <c r="H143" s="164"/>
    </row>
    <row r="144">
      <c r="A144" s="167" t="s">
        <v>60</v>
      </c>
      <c r="B144" s="168"/>
      <c r="C144" s="182"/>
      <c r="D144" s="183"/>
      <c r="E144" s="184"/>
      <c r="F144" s="171"/>
      <c r="G144" s="178"/>
      <c r="H144" s="164"/>
    </row>
    <row r="145">
      <c r="A145" s="167" t="s">
        <v>60</v>
      </c>
      <c r="B145" s="168"/>
      <c r="C145" s="182"/>
      <c r="D145" s="183"/>
      <c r="E145" s="184"/>
      <c r="F145" s="171"/>
      <c r="G145" s="178"/>
      <c r="H145" s="164"/>
    </row>
    <row r="146">
      <c r="A146" s="167" t="s">
        <v>60</v>
      </c>
      <c r="B146" s="168"/>
      <c r="C146" s="182"/>
      <c r="D146" s="183"/>
      <c r="E146" s="184"/>
      <c r="F146" s="171"/>
      <c r="G146" s="178"/>
      <c r="H146" s="164"/>
    </row>
    <row r="147">
      <c r="A147" s="167" t="s">
        <v>60</v>
      </c>
      <c r="B147" s="168"/>
      <c r="C147" s="182"/>
      <c r="D147" s="183"/>
      <c r="E147" s="184"/>
      <c r="F147" s="171"/>
      <c r="G147" s="178"/>
      <c r="H147" s="164"/>
    </row>
    <row r="148">
      <c r="A148" s="167" t="s">
        <v>60</v>
      </c>
      <c r="B148" s="168"/>
      <c r="C148" s="182"/>
      <c r="D148" s="183"/>
      <c r="E148" s="184"/>
      <c r="F148" s="171"/>
      <c r="G148" s="178"/>
      <c r="H148" s="164"/>
    </row>
    <row r="149">
      <c r="A149" s="167" t="s">
        <v>60</v>
      </c>
      <c r="B149" s="168"/>
      <c r="C149" s="182"/>
      <c r="D149" s="183"/>
      <c r="E149" s="184"/>
      <c r="F149" s="171"/>
      <c r="G149" s="178"/>
      <c r="H149" s="164"/>
    </row>
    <row r="150">
      <c r="A150" s="167" t="s">
        <v>60</v>
      </c>
      <c r="B150" s="168"/>
      <c r="C150" s="182"/>
      <c r="D150" s="183"/>
      <c r="E150" s="184"/>
      <c r="F150" s="171"/>
      <c r="G150" s="178"/>
      <c r="H150" s="164"/>
    </row>
    <row r="151">
      <c r="A151" s="167" t="s">
        <v>60</v>
      </c>
      <c r="B151" s="168"/>
      <c r="C151" s="182"/>
      <c r="D151" s="183"/>
      <c r="E151" s="184"/>
      <c r="F151" s="171"/>
      <c r="G151" s="178"/>
      <c r="H151" s="164"/>
    </row>
    <row r="152">
      <c r="A152" s="167" t="s">
        <v>60</v>
      </c>
      <c r="B152" s="168"/>
      <c r="C152" s="182"/>
      <c r="D152" s="183"/>
      <c r="E152" s="184"/>
      <c r="F152" s="171"/>
      <c r="G152" s="178"/>
      <c r="H152" s="164"/>
    </row>
    <row r="153">
      <c r="A153" s="167" t="s">
        <v>60</v>
      </c>
      <c r="B153" s="168"/>
      <c r="C153" s="182"/>
      <c r="D153" s="183"/>
      <c r="E153" s="184"/>
      <c r="F153" s="171"/>
      <c r="G153" s="163"/>
      <c r="H153" s="164"/>
    </row>
    <row r="154">
      <c r="A154" s="167" t="s">
        <v>60</v>
      </c>
      <c r="B154" s="168"/>
      <c r="C154" s="182"/>
      <c r="D154" s="183"/>
      <c r="E154" s="184"/>
      <c r="F154" s="171"/>
      <c r="G154" s="163"/>
      <c r="H154" s="164"/>
    </row>
    <row r="155">
      <c r="A155" s="167" t="s">
        <v>60</v>
      </c>
      <c r="B155" s="168"/>
      <c r="C155" s="182"/>
      <c r="D155" s="183"/>
      <c r="E155" s="184"/>
      <c r="F155" s="171"/>
      <c r="G155" s="163"/>
      <c r="H155" s="164"/>
    </row>
    <row r="156">
      <c r="A156" s="167" t="s">
        <v>60</v>
      </c>
      <c r="B156" s="168"/>
      <c r="C156" s="182"/>
      <c r="D156" s="183"/>
      <c r="E156" s="184"/>
      <c r="F156" s="171"/>
      <c r="G156" s="163"/>
      <c r="H156" s="164"/>
    </row>
    <row r="157">
      <c r="A157" s="167" t="s">
        <v>60</v>
      </c>
      <c r="B157" s="168"/>
      <c r="C157" s="182"/>
      <c r="D157" s="183"/>
      <c r="E157" s="184"/>
      <c r="F157" s="171"/>
      <c r="G157" s="163"/>
      <c r="H157" s="164"/>
    </row>
    <row r="158">
      <c r="A158" s="167" t="s">
        <v>60</v>
      </c>
      <c r="B158" s="168"/>
      <c r="C158" s="182"/>
      <c r="D158" s="183"/>
      <c r="E158" s="184"/>
      <c r="F158" s="171"/>
      <c r="G158" s="163"/>
      <c r="H158" s="164"/>
    </row>
    <row r="159">
      <c r="A159" s="167" t="s">
        <v>60</v>
      </c>
      <c r="B159" s="168"/>
      <c r="C159" s="182"/>
      <c r="D159" s="183"/>
      <c r="E159" s="184"/>
      <c r="F159" s="171"/>
      <c r="G159" s="163"/>
      <c r="H159" s="164"/>
    </row>
    <row r="160">
      <c r="A160" s="167" t="s">
        <v>60</v>
      </c>
      <c r="B160" s="168"/>
      <c r="C160" s="182"/>
      <c r="D160" s="183"/>
      <c r="E160" s="184"/>
      <c r="F160" s="171"/>
      <c r="G160" s="163"/>
      <c r="H160" s="164"/>
    </row>
    <row r="161">
      <c r="A161" s="167" t="s">
        <v>60</v>
      </c>
      <c r="B161" s="168"/>
      <c r="C161" s="182"/>
      <c r="D161" s="183"/>
      <c r="E161" s="184"/>
      <c r="F161" s="171"/>
      <c r="G161" s="163"/>
      <c r="H161" s="164"/>
    </row>
    <row r="162">
      <c r="A162" s="167" t="s">
        <v>60</v>
      </c>
      <c r="B162" s="168"/>
      <c r="C162" s="182"/>
      <c r="D162" s="183"/>
      <c r="E162" s="184"/>
      <c r="F162" s="171"/>
      <c r="G162" s="163"/>
      <c r="H162" s="164"/>
    </row>
    <row r="163">
      <c r="A163" s="167" t="s">
        <v>60</v>
      </c>
      <c r="B163" s="168"/>
      <c r="C163" s="182"/>
      <c r="D163" s="183"/>
      <c r="E163" s="184"/>
      <c r="F163" s="171"/>
      <c r="G163" s="163"/>
      <c r="H163" s="164"/>
    </row>
    <row r="164">
      <c r="A164" s="167" t="s">
        <v>60</v>
      </c>
      <c r="B164" s="168"/>
      <c r="C164" s="182"/>
      <c r="D164" s="183"/>
      <c r="E164" s="184"/>
      <c r="F164" s="171"/>
      <c r="G164" s="163"/>
      <c r="H164" s="164"/>
    </row>
    <row r="165">
      <c r="A165" s="167" t="s">
        <v>60</v>
      </c>
      <c r="B165" s="168"/>
      <c r="C165" s="182"/>
      <c r="D165" s="183"/>
      <c r="E165" s="184"/>
      <c r="F165" s="171"/>
      <c r="G165" s="163"/>
      <c r="H165" s="164"/>
    </row>
    <row r="166">
      <c r="A166" s="167" t="s">
        <v>60</v>
      </c>
      <c r="B166" s="168"/>
      <c r="C166" s="182"/>
      <c r="D166" s="183"/>
      <c r="E166" s="184"/>
      <c r="F166" s="171"/>
      <c r="G166" s="163"/>
      <c r="H166" s="164"/>
    </row>
    <row r="167">
      <c r="A167" s="167" t="s">
        <v>60</v>
      </c>
      <c r="B167" s="168"/>
      <c r="C167" s="182"/>
      <c r="D167" s="183"/>
      <c r="E167" s="184"/>
      <c r="F167" s="171"/>
      <c r="G167" s="163"/>
      <c r="H167" s="164"/>
    </row>
    <row r="168">
      <c r="A168" s="167" t="s">
        <v>60</v>
      </c>
      <c r="B168" s="168"/>
      <c r="C168" s="182"/>
      <c r="D168" s="183"/>
      <c r="E168" s="184"/>
      <c r="F168" s="171"/>
      <c r="G168" s="163"/>
      <c r="H168" s="164"/>
    </row>
    <row r="169">
      <c r="A169" s="187" t="s">
        <v>60</v>
      </c>
      <c r="B169" s="196"/>
      <c r="C169" s="197"/>
      <c r="D169" s="198"/>
      <c r="E169" s="199"/>
      <c r="F169" s="200"/>
      <c r="G169" s="188"/>
      <c r="H169" s="164"/>
    </row>
    <row r="170">
      <c r="B170" s="201"/>
      <c r="C170" s="202"/>
      <c r="D170" s="203"/>
      <c r="E170" s="204"/>
      <c r="F170" s="150"/>
      <c r="G170" s="150"/>
      <c r="H170" s="164"/>
    </row>
    <row r="171">
      <c r="A171" s="157" t="s">
        <v>61</v>
      </c>
      <c r="B171" s="158" t="s">
        <v>104</v>
      </c>
      <c r="C171" s="191">
        <v>44319.0</v>
      </c>
      <c r="D171" s="192" t="s">
        <v>164</v>
      </c>
      <c r="E171" s="193">
        <v>300.0</v>
      </c>
      <c r="F171" s="162" t="s">
        <v>30</v>
      </c>
      <c r="G171" s="194" t="s">
        <v>31</v>
      </c>
      <c r="H171" s="164"/>
    </row>
    <row r="172">
      <c r="A172" s="167" t="s">
        <v>61</v>
      </c>
      <c r="B172" s="168" t="s">
        <v>93</v>
      </c>
      <c r="C172" s="182">
        <v>44323.0</v>
      </c>
      <c r="D172" s="183" t="s">
        <v>148</v>
      </c>
      <c r="E172" s="184">
        <v>400.0</v>
      </c>
      <c r="F172" s="171" t="s">
        <v>30</v>
      </c>
      <c r="G172" s="163" t="s">
        <v>31</v>
      </c>
      <c r="H172" s="164"/>
    </row>
    <row r="173">
      <c r="A173" s="167" t="s">
        <v>61</v>
      </c>
      <c r="B173" s="168" t="s">
        <v>104</v>
      </c>
      <c r="C173" s="182">
        <v>44329.0</v>
      </c>
      <c r="D173" s="183" t="s">
        <v>135</v>
      </c>
      <c r="E173" s="184">
        <v>80.0</v>
      </c>
      <c r="F173" s="171" t="s">
        <v>14</v>
      </c>
      <c r="G173" s="163" t="s">
        <v>16</v>
      </c>
      <c r="H173" s="164"/>
    </row>
    <row r="174">
      <c r="A174" s="167" t="s">
        <v>61</v>
      </c>
      <c r="B174" s="168" t="s">
        <v>87</v>
      </c>
      <c r="C174" s="182">
        <v>44329.0</v>
      </c>
      <c r="D174" s="183" t="s">
        <v>87</v>
      </c>
      <c r="E174" s="184">
        <v>140.0</v>
      </c>
      <c r="F174" s="171" t="s">
        <v>14</v>
      </c>
      <c r="G174" s="163" t="s">
        <v>16</v>
      </c>
      <c r="H174" s="164"/>
    </row>
    <row r="175">
      <c r="A175" s="167" t="s">
        <v>61</v>
      </c>
      <c r="B175" s="168" t="s">
        <v>87</v>
      </c>
      <c r="C175" s="182">
        <v>44337.0</v>
      </c>
      <c r="D175" s="183" t="s">
        <v>87</v>
      </c>
      <c r="E175" s="184">
        <v>130.0</v>
      </c>
      <c r="F175" s="171" t="s">
        <v>14</v>
      </c>
      <c r="G175" s="163" t="s">
        <v>16</v>
      </c>
      <c r="H175" s="164"/>
    </row>
    <row r="176">
      <c r="A176" s="167" t="s">
        <v>61</v>
      </c>
      <c r="B176" s="168" t="s">
        <v>104</v>
      </c>
      <c r="C176" s="182">
        <v>44337.0</v>
      </c>
      <c r="D176" s="183" t="s">
        <v>135</v>
      </c>
      <c r="E176" s="184">
        <v>150.0</v>
      </c>
      <c r="F176" s="171" t="s">
        <v>14</v>
      </c>
      <c r="G176" s="163" t="s">
        <v>16</v>
      </c>
      <c r="H176" s="164"/>
    </row>
    <row r="177">
      <c r="A177" s="167" t="s">
        <v>61</v>
      </c>
      <c r="B177" s="168" t="s">
        <v>100</v>
      </c>
      <c r="C177" s="182">
        <v>44337.0</v>
      </c>
      <c r="D177" s="183" t="s">
        <v>165</v>
      </c>
      <c r="E177" s="184">
        <v>70.0</v>
      </c>
      <c r="F177" s="171" t="s">
        <v>24</v>
      </c>
      <c r="G177" s="163" t="s">
        <v>26</v>
      </c>
      <c r="H177" s="164"/>
    </row>
    <row r="178">
      <c r="A178" s="167" t="s">
        <v>61</v>
      </c>
      <c r="B178" s="168" t="s">
        <v>100</v>
      </c>
      <c r="C178" s="182">
        <v>44341.0</v>
      </c>
      <c r="D178" s="183" t="s">
        <v>166</v>
      </c>
      <c r="E178" s="184">
        <v>150.0</v>
      </c>
      <c r="F178" s="171" t="s">
        <v>24</v>
      </c>
      <c r="G178" s="163" t="s">
        <v>26</v>
      </c>
      <c r="H178" s="164"/>
    </row>
    <row r="179">
      <c r="A179" s="167" t="s">
        <v>61</v>
      </c>
      <c r="B179" s="168" t="s">
        <v>87</v>
      </c>
      <c r="C179" s="182">
        <v>44344.0</v>
      </c>
      <c r="D179" s="183" t="s">
        <v>87</v>
      </c>
      <c r="E179" s="184">
        <v>130.0</v>
      </c>
      <c r="F179" s="171" t="s">
        <v>14</v>
      </c>
      <c r="G179" s="163" t="s">
        <v>16</v>
      </c>
      <c r="H179" s="164"/>
    </row>
    <row r="180">
      <c r="A180" s="167" t="s">
        <v>61</v>
      </c>
      <c r="B180" s="168" t="s">
        <v>104</v>
      </c>
      <c r="C180" s="182">
        <v>44345.0</v>
      </c>
      <c r="D180" s="183" t="s">
        <v>164</v>
      </c>
      <c r="E180" s="184">
        <v>300.0</v>
      </c>
      <c r="F180" s="171" t="s">
        <v>14</v>
      </c>
      <c r="G180" s="163" t="s">
        <v>16</v>
      </c>
      <c r="H180" s="164"/>
    </row>
    <row r="181">
      <c r="A181" s="167" t="s">
        <v>61</v>
      </c>
      <c r="B181" s="168" t="s">
        <v>108</v>
      </c>
      <c r="C181" s="182">
        <v>44347.0</v>
      </c>
      <c r="D181" s="183" t="s">
        <v>161</v>
      </c>
      <c r="E181" s="184">
        <v>1.27</v>
      </c>
      <c r="F181" s="171" t="s">
        <v>14</v>
      </c>
      <c r="G181" s="163" t="s">
        <v>16</v>
      </c>
      <c r="H181" s="164"/>
    </row>
    <row r="182">
      <c r="A182" s="167" t="s">
        <v>61</v>
      </c>
      <c r="B182" s="168" t="s">
        <v>104</v>
      </c>
      <c r="C182" s="182">
        <v>44347.0</v>
      </c>
      <c r="D182" s="183" t="s">
        <v>146</v>
      </c>
      <c r="E182" s="184">
        <v>280.0</v>
      </c>
      <c r="F182" s="171" t="s">
        <v>14</v>
      </c>
      <c r="G182" s="163" t="s">
        <v>16</v>
      </c>
      <c r="H182" s="164"/>
    </row>
    <row r="183">
      <c r="A183" s="167" t="s">
        <v>61</v>
      </c>
      <c r="B183" s="168"/>
      <c r="C183" s="182"/>
      <c r="D183" s="183"/>
      <c r="E183" s="184"/>
      <c r="F183" s="171"/>
      <c r="G183" s="163"/>
      <c r="H183" s="164"/>
    </row>
    <row r="184">
      <c r="A184" s="167" t="s">
        <v>61</v>
      </c>
      <c r="B184" s="168"/>
      <c r="C184" s="182"/>
      <c r="D184" s="183"/>
      <c r="E184" s="184"/>
      <c r="F184" s="171"/>
      <c r="G184" s="163"/>
      <c r="H184" s="164"/>
    </row>
    <row r="185">
      <c r="A185" s="167" t="s">
        <v>61</v>
      </c>
      <c r="B185" s="168"/>
      <c r="C185" s="182"/>
      <c r="D185" s="183"/>
      <c r="E185" s="184"/>
      <c r="F185" s="171"/>
      <c r="G185" s="163"/>
      <c r="H185" s="164"/>
    </row>
    <row r="186">
      <c r="A186" s="167" t="s">
        <v>61</v>
      </c>
      <c r="B186" s="168"/>
      <c r="C186" s="182"/>
      <c r="D186" s="183"/>
      <c r="E186" s="184"/>
      <c r="F186" s="171"/>
      <c r="G186" s="178"/>
      <c r="H186" s="164"/>
    </row>
    <row r="187">
      <c r="A187" s="167" t="s">
        <v>61</v>
      </c>
      <c r="B187" s="168"/>
      <c r="C187" s="182"/>
      <c r="D187" s="183"/>
      <c r="E187" s="184"/>
      <c r="F187" s="171"/>
      <c r="G187" s="178"/>
      <c r="H187" s="164"/>
    </row>
    <row r="188">
      <c r="A188" s="167" t="s">
        <v>61</v>
      </c>
      <c r="B188" s="168"/>
      <c r="C188" s="182"/>
      <c r="D188" s="183"/>
      <c r="E188" s="184"/>
      <c r="F188" s="171"/>
      <c r="G188" s="178"/>
      <c r="H188" s="164"/>
    </row>
    <row r="189">
      <c r="A189" s="167" t="s">
        <v>61</v>
      </c>
      <c r="B189" s="168"/>
      <c r="C189" s="182"/>
      <c r="D189" s="183"/>
      <c r="E189" s="184"/>
      <c r="F189" s="171"/>
      <c r="G189" s="178"/>
      <c r="H189" s="164"/>
    </row>
    <row r="190">
      <c r="A190" s="167" t="s">
        <v>61</v>
      </c>
      <c r="B190" s="168"/>
      <c r="C190" s="182"/>
      <c r="D190" s="183"/>
      <c r="E190" s="184"/>
      <c r="F190" s="171"/>
      <c r="G190" s="178"/>
      <c r="H190" s="164"/>
    </row>
    <row r="191">
      <c r="A191" s="167" t="s">
        <v>61</v>
      </c>
      <c r="B191" s="168"/>
      <c r="C191" s="182"/>
      <c r="D191" s="183"/>
      <c r="E191" s="184"/>
      <c r="F191" s="171"/>
      <c r="G191" s="178"/>
      <c r="H191" s="164"/>
    </row>
    <row r="192">
      <c r="A192" s="167" t="s">
        <v>61</v>
      </c>
      <c r="B192" s="168"/>
      <c r="C192" s="182"/>
      <c r="D192" s="183"/>
      <c r="E192" s="184"/>
      <c r="F192" s="171"/>
      <c r="G192" s="178"/>
      <c r="H192" s="164"/>
    </row>
    <row r="193">
      <c r="A193" s="167" t="s">
        <v>61</v>
      </c>
      <c r="B193" s="168"/>
      <c r="C193" s="182"/>
      <c r="D193" s="183"/>
      <c r="E193" s="184"/>
      <c r="F193" s="171"/>
      <c r="G193" s="178"/>
      <c r="H193" s="164"/>
    </row>
    <row r="194">
      <c r="A194" s="167" t="s">
        <v>61</v>
      </c>
      <c r="B194" s="168"/>
      <c r="C194" s="182"/>
      <c r="D194" s="183"/>
      <c r="E194" s="184"/>
      <c r="F194" s="171"/>
      <c r="G194" s="178"/>
      <c r="H194" s="164"/>
    </row>
    <row r="195">
      <c r="A195" s="167" t="s">
        <v>61</v>
      </c>
      <c r="B195" s="168"/>
      <c r="C195" s="182"/>
      <c r="D195" s="183"/>
      <c r="E195" s="184"/>
      <c r="F195" s="171"/>
      <c r="G195" s="163"/>
      <c r="H195" s="164"/>
    </row>
    <row r="196">
      <c r="A196" s="167" t="s">
        <v>61</v>
      </c>
      <c r="B196" s="168"/>
      <c r="C196" s="182"/>
      <c r="D196" s="183"/>
      <c r="E196" s="184"/>
      <c r="F196" s="171"/>
      <c r="G196" s="163"/>
      <c r="H196" s="164"/>
    </row>
    <row r="197">
      <c r="A197" s="167" t="s">
        <v>61</v>
      </c>
      <c r="B197" s="168"/>
      <c r="C197" s="182"/>
      <c r="D197" s="183"/>
      <c r="E197" s="184"/>
      <c r="F197" s="171"/>
      <c r="G197" s="163"/>
      <c r="H197" s="164"/>
    </row>
    <row r="198">
      <c r="A198" s="167" t="s">
        <v>61</v>
      </c>
      <c r="B198" s="168"/>
      <c r="C198" s="182"/>
      <c r="D198" s="183"/>
      <c r="E198" s="184"/>
      <c r="F198" s="171"/>
      <c r="G198" s="163"/>
      <c r="H198" s="164"/>
    </row>
    <row r="199">
      <c r="A199" s="167" t="s">
        <v>61</v>
      </c>
      <c r="B199" s="168"/>
      <c r="C199" s="182"/>
      <c r="D199" s="183"/>
      <c r="E199" s="184"/>
      <c r="F199" s="171"/>
      <c r="G199" s="163"/>
      <c r="H199" s="164"/>
    </row>
    <row r="200">
      <c r="A200" s="167" t="s">
        <v>61</v>
      </c>
      <c r="B200" s="168"/>
      <c r="C200" s="182"/>
      <c r="D200" s="183"/>
      <c r="E200" s="184"/>
      <c r="F200" s="171"/>
      <c r="G200" s="163"/>
      <c r="H200" s="164"/>
    </row>
    <row r="201">
      <c r="A201" s="167" t="s">
        <v>61</v>
      </c>
      <c r="B201" s="168"/>
      <c r="C201" s="182"/>
      <c r="D201" s="183"/>
      <c r="E201" s="184"/>
      <c r="F201" s="171"/>
      <c r="G201" s="163"/>
      <c r="H201" s="164"/>
    </row>
    <row r="202">
      <c r="A202" s="167" t="s">
        <v>61</v>
      </c>
      <c r="B202" s="168"/>
      <c r="C202" s="182"/>
      <c r="D202" s="183"/>
      <c r="E202" s="184"/>
      <c r="F202" s="171"/>
      <c r="G202" s="163"/>
      <c r="H202" s="164"/>
    </row>
    <row r="203">
      <c r="A203" s="167" t="s">
        <v>61</v>
      </c>
      <c r="B203" s="168"/>
      <c r="C203" s="182"/>
      <c r="D203" s="183"/>
      <c r="E203" s="184"/>
      <c r="F203" s="171"/>
      <c r="G203" s="163"/>
      <c r="H203" s="164"/>
    </row>
    <row r="204">
      <c r="A204" s="167" t="s">
        <v>61</v>
      </c>
      <c r="B204" s="168"/>
      <c r="C204" s="182"/>
      <c r="D204" s="183"/>
      <c r="E204" s="184"/>
      <c r="F204" s="171"/>
      <c r="G204" s="163"/>
      <c r="H204" s="164"/>
    </row>
    <row r="205">
      <c r="A205" s="167" t="s">
        <v>61</v>
      </c>
      <c r="B205" s="168"/>
      <c r="C205" s="182"/>
      <c r="D205" s="183"/>
      <c r="E205" s="184"/>
      <c r="F205" s="171"/>
      <c r="G205" s="163"/>
      <c r="H205" s="164"/>
    </row>
    <row r="206">
      <c r="A206" s="167" t="s">
        <v>61</v>
      </c>
      <c r="B206" s="168"/>
      <c r="C206" s="182"/>
      <c r="D206" s="183"/>
      <c r="E206" s="184"/>
      <c r="F206" s="171"/>
      <c r="G206" s="163"/>
      <c r="H206" s="164"/>
    </row>
    <row r="207">
      <c r="A207" s="167" t="s">
        <v>61</v>
      </c>
      <c r="B207" s="168"/>
      <c r="C207" s="182"/>
      <c r="D207" s="183"/>
      <c r="E207" s="184"/>
      <c r="F207" s="171"/>
      <c r="G207" s="163"/>
      <c r="H207" s="164"/>
    </row>
    <row r="208">
      <c r="A208" s="167" t="s">
        <v>61</v>
      </c>
      <c r="B208" s="168"/>
      <c r="C208" s="182"/>
      <c r="D208" s="183"/>
      <c r="E208" s="184"/>
      <c r="F208" s="171"/>
      <c r="G208" s="163"/>
      <c r="H208" s="164"/>
    </row>
    <row r="209">
      <c r="A209" s="167" t="s">
        <v>61</v>
      </c>
      <c r="B209" s="168"/>
      <c r="C209" s="182"/>
      <c r="D209" s="183"/>
      <c r="E209" s="184"/>
      <c r="F209" s="171"/>
      <c r="G209" s="163"/>
      <c r="H209" s="164"/>
    </row>
    <row r="210">
      <c r="A210" s="167" t="s">
        <v>61</v>
      </c>
      <c r="B210" s="168"/>
      <c r="C210" s="182"/>
      <c r="D210" s="183"/>
      <c r="E210" s="184"/>
      <c r="F210" s="171"/>
      <c r="G210" s="163"/>
      <c r="H210" s="164"/>
    </row>
    <row r="211">
      <c r="A211" s="187" t="s">
        <v>61</v>
      </c>
      <c r="B211" s="196"/>
      <c r="C211" s="197"/>
      <c r="D211" s="198"/>
      <c r="E211" s="199"/>
      <c r="F211" s="200"/>
      <c r="G211" s="188"/>
      <c r="H211" s="164"/>
    </row>
    <row r="212">
      <c r="B212" s="201"/>
      <c r="C212" s="202"/>
      <c r="D212" s="203"/>
      <c r="E212" s="204"/>
      <c r="F212" s="150"/>
      <c r="G212" s="150"/>
      <c r="H212" s="164"/>
    </row>
    <row r="213">
      <c r="A213" s="157" t="s">
        <v>62</v>
      </c>
      <c r="B213" s="158" t="s">
        <v>93</v>
      </c>
      <c r="C213" s="191">
        <v>44351.0</v>
      </c>
      <c r="D213" s="192" t="s">
        <v>148</v>
      </c>
      <c r="E213" s="205">
        <v>400.0</v>
      </c>
      <c r="F213" s="162" t="s">
        <v>14</v>
      </c>
      <c r="G213" s="194" t="s">
        <v>16</v>
      </c>
      <c r="H213" s="164"/>
    </row>
    <row r="214">
      <c r="A214" s="167" t="s">
        <v>62</v>
      </c>
      <c r="B214" s="168" t="s">
        <v>104</v>
      </c>
      <c r="C214" s="182">
        <v>44351.0</v>
      </c>
      <c r="D214" s="183" t="s">
        <v>167</v>
      </c>
      <c r="E214" s="207">
        <v>26.0</v>
      </c>
      <c r="F214" s="171" t="s">
        <v>24</v>
      </c>
      <c r="G214" s="163" t="s">
        <v>26</v>
      </c>
      <c r="H214" s="164"/>
    </row>
    <row r="215">
      <c r="A215" s="167" t="s">
        <v>62</v>
      </c>
      <c r="B215" s="168" t="s">
        <v>87</v>
      </c>
      <c r="C215" s="182">
        <v>44354.0</v>
      </c>
      <c r="D215" s="183" t="s">
        <v>87</v>
      </c>
      <c r="E215" s="207">
        <v>130.0</v>
      </c>
      <c r="F215" s="171" t="s">
        <v>14</v>
      </c>
      <c r="G215" s="163" t="s">
        <v>16</v>
      </c>
      <c r="H215" s="164"/>
    </row>
    <row r="216">
      <c r="A216" s="167" t="s">
        <v>62</v>
      </c>
      <c r="B216" s="168" t="s">
        <v>112</v>
      </c>
      <c r="C216" s="182">
        <v>44354.0</v>
      </c>
      <c r="D216" s="183" t="s">
        <v>168</v>
      </c>
      <c r="E216" s="207">
        <v>30.06</v>
      </c>
      <c r="F216" s="171" t="s">
        <v>14</v>
      </c>
      <c r="G216" s="163" t="s">
        <v>16</v>
      </c>
      <c r="H216" s="164"/>
    </row>
    <row r="217">
      <c r="A217" s="167" t="s">
        <v>62</v>
      </c>
      <c r="B217" s="168" t="s">
        <v>104</v>
      </c>
      <c r="C217" s="182">
        <v>44356.0</v>
      </c>
      <c r="D217" s="183" t="s">
        <v>169</v>
      </c>
      <c r="E217" s="207">
        <v>200.0</v>
      </c>
      <c r="F217" s="171" t="s">
        <v>24</v>
      </c>
      <c r="G217" s="163" t="s">
        <v>26</v>
      </c>
      <c r="H217" s="164"/>
    </row>
    <row r="218">
      <c r="A218" s="167" t="s">
        <v>62</v>
      </c>
      <c r="B218" s="168" t="s">
        <v>87</v>
      </c>
      <c r="C218" s="182">
        <v>44356.0</v>
      </c>
      <c r="D218" s="183" t="s">
        <v>170</v>
      </c>
      <c r="E218" s="207">
        <v>13.0</v>
      </c>
      <c r="F218" s="171" t="s">
        <v>14</v>
      </c>
      <c r="G218" s="163" t="s">
        <v>16</v>
      </c>
      <c r="H218" s="164"/>
    </row>
    <row r="219">
      <c r="A219" s="167" t="s">
        <v>62</v>
      </c>
      <c r="B219" s="168" t="s">
        <v>104</v>
      </c>
      <c r="C219" s="182">
        <v>44356.0</v>
      </c>
      <c r="D219" s="183" t="s">
        <v>135</v>
      </c>
      <c r="E219" s="207">
        <v>80.0</v>
      </c>
      <c r="F219" s="171" t="s">
        <v>14</v>
      </c>
      <c r="G219" s="163" t="s">
        <v>16</v>
      </c>
      <c r="H219" s="164"/>
    </row>
    <row r="220">
      <c r="A220" s="167" t="s">
        <v>62</v>
      </c>
      <c r="B220" s="168" t="s">
        <v>104</v>
      </c>
      <c r="C220" s="182">
        <v>44356.0</v>
      </c>
      <c r="D220" s="183" t="s">
        <v>169</v>
      </c>
      <c r="E220" s="207">
        <v>50.0</v>
      </c>
      <c r="F220" s="171" t="s">
        <v>14</v>
      </c>
      <c r="G220" s="163" t="s">
        <v>16</v>
      </c>
      <c r="H220" s="164"/>
    </row>
    <row r="221">
      <c r="A221" s="167" t="s">
        <v>62</v>
      </c>
      <c r="B221" s="168" t="s">
        <v>104</v>
      </c>
      <c r="C221" s="182">
        <v>44357.0</v>
      </c>
      <c r="D221" s="183" t="s">
        <v>171</v>
      </c>
      <c r="E221" s="207">
        <v>200.0</v>
      </c>
      <c r="F221" s="171" t="s">
        <v>24</v>
      </c>
      <c r="G221" s="163" t="s">
        <v>26</v>
      </c>
    </row>
    <row r="222">
      <c r="A222" s="167" t="s">
        <v>62</v>
      </c>
      <c r="B222" s="168" t="s">
        <v>100</v>
      </c>
      <c r="C222" s="182">
        <v>44358.0</v>
      </c>
      <c r="D222" s="183" t="s">
        <v>172</v>
      </c>
      <c r="E222" s="207">
        <v>50.0</v>
      </c>
      <c r="F222" s="171" t="s">
        <v>14</v>
      </c>
      <c r="G222" s="163" t="s">
        <v>16</v>
      </c>
    </row>
    <row r="223">
      <c r="A223" s="167" t="s">
        <v>62</v>
      </c>
      <c r="B223" s="168" t="s">
        <v>87</v>
      </c>
      <c r="C223" s="182">
        <v>44365.0</v>
      </c>
      <c r="D223" s="183" t="s">
        <v>87</v>
      </c>
      <c r="E223" s="207">
        <v>130.0</v>
      </c>
      <c r="F223" s="171" t="s">
        <v>14</v>
      </c>
      <c r="G223" s="163" t="s">
        <v>16</v>
      </c>
    </row>
    <row r="224">
      <c r="A224" s="167" t="s">
        <v>62</v>
      </c>
      <c r="B224" s="168" t="s">
        <v>104</v>
      </c>
      <c r="C224" s="182">
        <v>44370.0</v>
      </c>
      <c r="D224" s="183" t="s">
        <v>173</v>
      </c>
      <c r="E224" s="184">
        <v>500.0</v>
      </c>
      <c r="F224" s="171" t="s">
        <v>14</v>
      </c>
      <c r="G224" s="163" t="s">
        <v>16</v>
      </c>
    </row>
    <row r="225">
      <c r="A225" s="167" t="s">
        <v>62</v>
      </c>
      <c r="B225" s="168" t="s">
        <v>100</v>
      </c>
      <c r="C225" s="182">
        <v>44370.0</v>
      </c>
      <c r="D225" s="183" t="s">
        <v>174</v>
      </c>
      <c r="E225" s="184">
        <v>100.0</v>
      </c>
      <c r="F225" s="171" t="s">
        <v>14</v>
      </c>
      <c r="G225" s="163" t="s">
        <v>16</v>
      </c>
    </row>
    <row r="226">
      <c r="A226" s="167" t="s">
        <v>62</v>
      </c>
      <c r="B226" s="168" t="s">
        <v>104</v>
      </c>
      <c r="C226" s="182">
        <v>44371.0</v>
      </c>
      <c r="D226" s="183" t="s">
        <v>175</v>
      </c>
      <c r="E226" s="184">
        <v>22.0</v>
      </c>
      <c r="F226" s="171" t="s">
        <v>14</v>
      </c>
      <c r="G226" s="163" t="s">
        <v>16</v>
      </c>
    </row>
    <row r="227">
      <c r="A227" s="167" t="s">
        <v>62</v>
      </c>
      <c r="B227" s="168" t="s">
        <v>87</v>
      </c>
      <c r="C227" s="182">
        <v>44372.0</v>
      </c>
      <c r="D227" s="183" t="s">
        <v>87</v>
      </c>
      <c r="E227" s="184">
        <v>130.0</v>
      </c>
      <c r="F227" s="171" t="s">
        <v>14</v>
      </c>
      <c r="G227" s="163" t="s">
        <v>16</v>
      </c>
    </row>
    <row r="228">
      <c r="A228" s="167" t="s">
        <v>62</v>
      </c>
      <c r="B228" s="168" t="s">
        <v>104</v>
      </c>
      <c r="C228" s="182">
        <v>44374.0</v>
      </c>
      <c r="D228" s="183" t="s">
        <v>176</v>
      </c>
      <c r="E228" s="184">
        <v>47.0</v>
      </c>
      <c r="F228" s="171" t="s">
        <v>14</v>
      </c>
      <c r="G228" s="163" t="s">
        <v>16</v>
      </c>
    </row>
    <row r="229">
      <c r="A229" s="167" t="s">
        <v>62</v>
      </c>
      <c r="B229" s="168" t="s">
        <v>108</v>
      </c>
      <c r="C229" s="182">
        <v>44226.0</v>
      </c>
      <c r="D229" s="183" t="s">
        <v>14</v>
      </c>
      <c r="E229" s="184">
        <v>2.15</v>
      </c>
      <c r="F229" s="171" t="s">
        <v>14</v>
      </c>
      <c r="G229" s="163" t="s">
        <v>16</v>
      </c>
    </row>
    <row r="230">
      <c r="A230" s="167" t="s">
        <v>62</v>
      </c>
      <c r="B230" s="168"/>
      <c r="C230" s="182"/>
      <c r="D230" s="183"/>
      <c r="E230" s="184"/>
      <c r="F230" s="171"/>
      <c r="G230" s="178"/>
    </row>
    <row r="231">
      <c r="A231" s="167" t="s">
        <v>62</v>
      </c>
      <c r="B231" s="168"/>
      <c r="C231" s="182"/>
      <c r="D231" s="183"/>
      <c r="E231" s="184"/>
      <c r="F231" s="171"/>
      <c r="G231" s="178"/>
    </row>
    <row r="232">
      <c r="A232" s="167" t="s">
        <v>62</v>
      </c>
      <c r="B232" s="168"/>
      <c r="C232" s="182"/>
      <c r="D232" s="183"/>
      <c r="E232" s="184"/>
      <c r="F232" s="171"/>
      <c r="G232" s="178"/>
    </row>
    <row r="233">
      <c r="A233" s="167" t="s">
        <v>62</v>
      </c>
      <c r="B233" s="168"/>
      <c r="C233" s="182"/>
      <c r="D233" s="183"/>
      <c r="E233" s="184"/>
      <c r="F233" s="171"/>
      <c r="G233" s="178"/>
    </row>
    <row r="234">
      <c r="A234" s="167" t="s">
        <v>62</v>
      </c>
      <c r="B234" s="168"/>
      <c r="C234" s="182"/>
      <c r="D234" s="183"/>
      <c r="E234" s="184"/>
      <c r="F234" s="171"/>
      <c r="G234" s="178"/>
    </row>
    <row r="235">
      <c r="A235" s="167" t="s">
        <v>62</v>
      </c>
      <c r="B235" s="168"/>
      <c r="C235" s="182"/>
      <c r="D235" s="183"/>
      <c r="E235" s="184"/>
      <c r="F235" s="171"/>
      <c r="G235" s="178"/>
    </row>
    <row r="236">
      <c r="A236" s="167" t="s">
        <v>62</v>
      </c>
      <c r="B236" s="168"/>
      <c r="C236" s="182"/>
      <c r="D236" s="183"/>
      <c r="E236" s="184"/>
      <c r="F236" s="171"/>
      <c r="G236" s="178"/>
    </row>
    <row r="237">
      <c r="A237" s="167" t="s">
        <v>62</v>
      </c>
      <c r="B237" s="168"/>
      <c r="C237" s="182"/>
      <c r="D237" s="183"/>
      <c r="E237" s="184"/>
      <c r="F237" s="171"/>
      <c r="G237" s="163"/>
    </row>
    <row r="238">
      <c r="A238" s="167" t="s">
        <v>62</v>
      </c>
      <c r="B238" s="168"/>
      <c r="C238" s="182"/>
      <c r="D238" s="183"/>
      <c r="E238" s="184"/>
      <c r="F238" s="171"/>
      <c r="G238" s="163"/>
    </row>
    <row r="239">
      <c r="A239" s="167" t="s">
        <v>62</v>
      </c>
      <c r="B239" s="168"/>
      <c r="C239" s="182"/>
      <c r="D239" s="183"/>
      <c r="E239" s="184"/>
      <c r="F239" s="171"/>
      <c r="G239" s="163"/>
    </row>
    <row r="240">
      <c r="A240" s="167" t="s">
        <v>62</v>
      </c>
      <c r="B240" s="168"/>
      <c r="C240" s="182"/>
      <c r="D240" s="183"/>
      <c r="E240" s="184"/>
      <c r="F240" s="171"/>
      <c r="G240" s="163"/>
    </row>
    <row r="241">
      <c r="A241" s="167" t="s">
        <v>62</v>
      </c>
      <c r="B241" s="168"/>
      <c r="C241" s="182"/>
      <c r="D241" s="183"/>
      <c r="E241" s="184"/>
      <c r="F241" s="171"/>
      <c r="G241" s="163"/>
    </row>
    <row r="242">
      <c r="A242" s="167" t="s">
        <v>62</v>
      </c>
      <c r="B242" s="168"/>
      <c r="C242" s="182"/>
      <c r="D242" s="183"/>
      <c r="E242" s="184"/>
      <c r="F242" s="171"/>
      <c r="G242" s="163"/>
    </row>
    <row r="243">
      <c r="A243" s="167" t="s">
        <v>62</v>
      </c>
      <c r="B243" s="168"/>
      <c r="C243" s="182"/>
      <c r="D243" s="183"/>
      <c r="E243" s="184"/>
      <c r="F243" s="171"/>
      <c r="G243" s="163"/>
    </row>
    <row r="244">
      <c r="A244" s="167" t="s">
        <v>62</v>
      </c>
      <c r="B244" s="168"/>
      <c r="C244" s="182"/>
      <c r="D244" s="183"/>
      <c r="E244" s="184"/>
      <c r="F244" s="171"/>
      <c r="G244" s="163"/>
    </row>
    <row r="245">
      <c r="A245" s="167" t="s">
        <v>62</v>
      </c>
      <c r="B245" s="168"/>
      <c r="C245" s="182"/>
      <c r="D245" s="183"/>
      <c r="E245" s="184"/>
      <c r="F245" s="171"/>
      <c r="G245" s="163"/>
    </row>
    <row r="246">
      <c r="A246" s="167" t="s">
        <v>62</v>
      </c>
      <c r="B246" s="168"/>
      <c r="C246" s="182"/>
      <c r="D246" s="183"/>
      <c r="E246" s="184"/>
      <c r="F246" s="171"/>
      <c r="G246" s="163"/>
    </row>
    <row r="247">
      <c r="A247" s="167" t="s">
        <v>62</v>
      </c>
      <c r="B247" s="168"/>
      <c r="C247" s="182"/>
      <c r="D247" s="183"/>
      <c r="E247" s="184"/>
      <c r="F247" s="171"/>
      <c r="G247" s="163"/>
    </row>
    <row r="248">
      <c r="A248" s="167" t="s">
        <v>62</v>
      </c>
      <c r="B248" s="168"/>
      <c r="C248" s="182"/>
      <c r="D248" s="183"/>
      <c r="E248" s="184"/>
      <c r="F248" s="171"/>
      <c r="G248" s="163"/>
    </row>
    <row r="249">
      <c r="A249" s="167" t="s">
        <v>62</v>
      </c>
      <c r="B249" s="168"/>
      <c r="C249" s="182"/>
      <c r="D249" s="183"/>
      <c r="E249" s="184"/>
      <c r="F249" s="171"/>
      <c r="G249" s="163"/>
    </row>
    <row r="250">
      <c r="A250" s="167" t="s">
        <v>62</v>
      </c>
      <c r="B250" s="168"/>
      <c r="C250" s="182"/>
      <c r="D250" s="183"/>
      <c r="E250" s="184"/>
      <c r="F250" s="171"/>
      <c r="G250" s="163"/>
    </row>
    <row r="251">
      <c r="A251" s="167" t="s">
        <v>62</v>
      </c>
      <c r="B251" s="168"/>
      <c r="C251" s="182"/>
      <c r="D251" s="183"/>
      <c r="E251" s="184"/>
      <c r="F251" s="171"/>
      <c r="G251" s="163"/>
    </row>
    <row r="252">
      <c r="A252" s="167" t="s">
        <v>62</v>
      </c>
      <c r="B252" s="168"/>
      <c r="C252" s="182"/>
      <c r="D252" s="183"/>
      <c r="E252" s="184"/>
      <c r="F252" s="171"/>
      <c r="G252" s="163"/>
    </row>
    <row r="253">
      <c r="A253" s="187" t="s">
        <v>62</v>
      </c>
      <c r="B253" s="196"/>
      <c r="C253" s="197"/>
      <c r="D253" s="198"/>
      <c r="E253" s="199"/>
      <c r="F253" s="200"/>
      <c r="G253" s="188"/>
    </row>
    <row r="254">
      <c r="E254" s="209"/>
    </row>
    <row r="255">
      <c r="A255" s="157" t="s">
        <v>63</v>
      </c>
      <c r="B255" s="158" t="s">
        <v>100</v>
      </c>
      <c r="C255" s="191">
        <v>44379.0</v>
      </c>
      <c r="D255" s="192" t="s">
        <v>177</v>
      </c>
      <c r="E255" s="205">
        <v>200.0</v>
      </c>
      <c r="F255" s="162" t="s">
        <v>14</v>
      </c>
      <c r="G255" s="194" t="s">
        <v>16</v>
      </c>
    </row>
    <row r="256">
      <c r="A256" s="167" t="s">
        <v>63</v>
      </c>
      <c r="B256" s="168" t="s">
        <v>104</v>
      </c>
      <c r="C256" s="191">
        <v>44379.0</v>
      </c>
      <c r="D256" s="183" t="s">
        <v>178</v>
      </c>
      <c r="E256" s="207">
        <v>300.0</v>
      </c>
      <c r="F256" s="171" t="s">
        <v>14</v>
      </c>
      <c r="G256" s="163" t="s">
        <v>16</v>
      </c>
    </row>
    <row r="257">
      <c r="A257" s="167" t="s">
        <v>63</v>
      </c>
      <c r="B257" s="168" t="s">
        <v>87</v>
      </c>
      <c r="C257" s="182">
        <v>44379.0</v>
      </c>
      <c r="D257" s="183" t="s">
        <v>87</v>
      </c>
      <c r="E257" s="207">
        <v>130.0</v>
      </c>
      <c r="F257" s="171" t="s">
        <v>14</v>
      </c>
      <c r="G257" s="163" t="s">
        <v>16</v>
      </c>
    </row>
    <row r="258">
      <c r="A258" s="167" t="s">
        <v>63</v>
      </c>
      <c r="B258" s="168" t="s">
        <v>112</v>
      </c>
      <c r="C258" s="182">
        <v>44380.0</v>
      </c>
      <c r="D258" s="183" t="s">
        <v>179</v>
      </c>
      <c r="E258" s="207">
        <v>53.0</v>
      </c>
      <c r="F258" s="171" t="s">
        <v>14</v>
      </c>
      <c r="G258" s="163" t="s">
        <v>16</v>
      </c>
    </row>
    <row r="259">
      <c r="A259" s="167" t="s">
        <v>63</v>
      </c>
      <c r="B259" s="168" t="s">
        <v>100</v>
      </c>
      <c r="C259" s="182">
        <v>44383.0</v>
      </c>
      <c r="D259" s="183" t="s">
        <v>180</v>
      </c>
      <c r="E259" s="207">
        <v>50.0</v>
      </c>
      <c r="F259" s="171" t="s">
        <v>14</v>
      </c>
      <c r="G259" s="163" t="s">
        <v>16</v>
      </c>
    </row>
    <row r="260">
      <c r="A260" s="167" t="s">
        <v>63</v>
      </c>
      <c r="B260" s="168" t="s">
        <v>108</v>
      </c>
      <c r="C260" s="182">
        <v>44384.0</v>
      </c>
      <c r="D260" s="183" t="s">
        <v>181</v>
      </c>
      <c r="E260" s="207">
        <v>10.1</v>
      </c>
      <c r="F260" s="171" t="s">
        <v>41</v>
      </c>
      <c r="G260" s="163" t="s">
        <v>42</v>
      </c>
    </row>
    <row r="261">
      <c r="A261" s="167" t="s">
        <v>63</v>
      </c>
      <c r="B261" s="168" t="s">
        <v>87</v>
      </c>
      <c r="C261" s="182">
        <v>44386.0</v>
      </c>
      <c r="D261" s="183" t="s">
        <v>87</v>
      </c>
      <c r="E261" s="207">
        <v>14.1</v>
      </c>
      <c r="F261" s="171" t="s">
        <v>14</v>
      </c>
      <c r="G261" s="163" t="s">
        <v>16</v>
      </c>
    </row>
    <row r="262">
      <c r="A262" s="167" t="s">
        <v>63</v>
      </c>
      <c r="B262" s="168" t="s">
        <v>104</v>
      </c>
      <c r="C262" s="182">
        <v>44386.0</v>
      </c>
      <c r="D262" s="183" t="s">
        <v>135</v>
      </c>
      <c r="E262" s="207">
        <v>75.9</v>
      </c>
      <c r="F262" s="171" t="s">
        <v>14</v>
      </c>
      <c r="G262" s="163" t="s">
        <v>16</v>
      </c>
    </row>
    <row r="263">
      <c r="A263" s="167" t="s">
        <v>63</v>
      </c>
      <c r="B263" s="168" t="s">
        <v>104</v>
      </c>
      <c r="C263" s="182">
        <v>44386.0</v>
      </c>
      <c r="D263" s="183" t="s">
        <v>182</v>
      </c>
      <c r="E263" s="207">
        <v>45.0</v>
      </c>
      <c r="F263" s="171" t="s">
        <v>14</v>
      </c>
      <c r="G263" s="163" t="s">
        <v>16</v>
      </c>
    </row>
    <row r="264">
      <c r="A264" s="167" t="s">
        <v>63</v>
      </c>
      <c r="B264" s="168" t="s">
        <v>104</v>
      </c>
      <c r="C264" s="182">
        <v>44387.0</v>
      </c>
      <c r="D264" s="183" t="s">
        <v>183</v>
      </c>
      <c r="E264" s="207">
        <v>210.0</v>
      </c>
      <c r="F264" s="171" t="s">
        <v>24</v>
      </c>
      <c r="G264" s="163" t="s">
        <v>26</v>
      </c>
    </row>
    <row r="265">
      <c r="A265" s="167" t="s">
        <v>63</v>
      </c>
      <c r="B265" s="168" t="s">
        <v>104</v>
      </c>
      <c r="C265" s="182">
        <v>44392.0</v>
      </c>
      <c r="D265" s="183" t="s">
        <v>184</v>
      </c>
      <c r="E265" s="207">
        <v>22.0</v>
      </c>
      <c r="F265" s="171" t="s">
        <v>24</v>
      </c>
      <c r="G265" s="163" t="s">
        <v>26</v>
      </c>
    </row>
    <row r="266">
      <c r="A266" s="167" t="s">
        <v>63</v>
      </c>
      <c r="B266" s="168" t="s">
        <v>100</v>
      </c>
      <c r="C266" s="182">
        <v>44393.0</v>
      </c>
      <c r="D266" s="183" t="s">
        <v>185</v>
      </c>
      <c r="E266" s="207">
        <v>50.0</v>
      </c>
      <c r="F266" s="171" t="s">
        <v>14</v>
      </c>
      <c r="G266" s="163" t="s">
        <v>16</v>
      </c>
    </row>
    <row r="267">
      <c r="A267" s="167" t="s">
        <v>63</v>
      </c>
      <c r="B267" s="168" t="s">
        <v>104</v>
      </c>
      <c r="C267" s="182">
        <v>44393.0</v>
      </c>
      <c r="D267" s="183" t="s">
        <v>186</v>
      </c>
      <c r="E267" s="207">
        <v>15.9</v>
      </c>
      <c r="F267" s="171" t="s">
        <v>14</v>
      </c>
      <c r="G267" s="163" t="s">
        <v>16</v>
      </c>
    </row>
    <row r="268">
      <c r="A268" s="167" t="s">
        <v>63</v>
      </c>
      <c r="B268" s="168" t="s">
        <v>87</v>
      </c>
      <c r="C268" s="182">
        <v>44394.0</v>
      </c>
      <c r="D268" s="183" t="s">
        <v>87</v>
      </c>
      <c r="E268" s="207">
        <v>130.0</v>
      </c>
      <c r="F268" s="171" t="s">
        <v>14</v>
      </c>
      <c r="G268" s="163" t="s">
        <v>16</v>
      </c>
    </row>
    <row r="269">
      <c r="A269" s="167" t="s">
        <v>63</v>
      </c>
      <c r="B269" s="168" t="s">
        <v>104</v>
      </c>
      <c r="C269" s="182">
        <v>44396.0</v>
      </c>
      <c r="D269" s="183" t="s">
        <v>182</v>
      </c>
      <c r="E269" s="207">
        <v>40.0</v>
      </c>
      <c r="F269" s="171" t="s">
        <v>14</v>
      </c>
      <c r="G269" s="163" t="s">
        <v>16</v>
      </c>
    </row>
    <row r="270">
      <c r="A270" s="167" t="s">
        <v>63</v>
      </c>
      <c r="B270" s="168" t="s">
        <v>112</v>
      </c>
      <c r="C270" s="182">
        <v>44396.0</v>
      </c>
      <c r="D270" s="183" t="s">
        <v>149</v>
      </c>
      <c r="E270" s="207">
        <v>42.0</v>
      </c>
      <c r="F270" s="171" t="s">
        <v>14</v>
      </c>
      <c r="G270" s="163" t="s">
        <v>16</v>
      </c>
    </row>
    <row r="271">
      <c r="A271" s="167" t="s">
        <v>63</v>
      </c>
      <c r="B271" s="168" t="s">
        <v>112</v>
      </c>
      <c r="C271" s="182">
        <v>44397.0</v>
      </c>
      <c r="D271" s="183" t="s">
        <v>187</v>
      </c>
      <c r="E271" s="207">
        <v>33.0</v>
      </c>
      <c r="F271" s="171" t="s">
        <v>14</v>
      </c>
      <c r="G271" s="163" t="s">
        <v>16</v>
      </c>
    </row>
    <row r="272">
      <c r="A272" s="167" t="s">
        <v>63</v>
      </c>
      <c r="B272" s="168" t="s">
        <v>104</v>
      </c>
      <c r="C272" s="182">
        <v>44397.0</v>
      </c>
      <c r="D272" s="183" t="s">
        <v>188</v>
      </c>
      <c r="E272" s="184">
        <v>138.0</v>
      </c>
      <c r="F272" s="171" t="s">
        <v>14</v>
      </c>
      <c r="G272" s="163" t="s">
        <v>16</v>
      </c>
    </row>
    <row r="273">
      <c r="A273" s="167" t="s">
        <v>63</v>
      </c>
      <c r="B273" s="168" t="s">
        <v>87</v>
      </c>
      <c r="C273" s="182">
        <v>44400.0</v>
      </c>
      <c r="D273" s="183" t="s">
        <v>87</v>
      </c>
      <c r="E273" s="184">
        <v>130.0</v>
      </c>
      <c r="F273" s="171" t="s">
        <v>14</v>
      </c>
      <c r="G273" s="163" t="s">
        <v>16</v>
      </c>
    </row>
    <row r="274">
      <c r="A274" s="167" t="s">
        <v>63</v>
      </c>
      <c r="B274" s="168" t="s">
        <v>100</v>
      </c>
      <c r="C274" s="182">
        <v>44401.0</v>
      </c>
      <c r="D274" s="183" t="s">
        <v>189</v>
      </c>
      <c r="E274" s="184">
        <v>60.0</v>
      </c>
      <c r="F274" s="171" t="s">
        <v>14</v>
      </c>
      <c r="G274" s="163" t="s">
        <v>16</v>
      </c>
    </row>
    <row r="275">
      <c r="A275" s="167" t="s">
        <v>63</v>
      </c>
      <c r="B275" s="168" t="s">
        <v>87</v>
      </c>
      <c r="C275" s="182">
        <v>44408.0</v>
      </c>
      <c r="D275" s="183" t="s">
        <v>87</v>
      </c>
      <c r="E275" s="184">
        <v>130.0</v>
      </c>
      <c r="F275" s="171" t="s">
        <v>14</v>
      </c>
      <c r="G275" s="178" t="s">
        <v>16</v>
      </c>
    </row>
    <row r="276">
      <c r="A276" s="167" t="s">
        <v>63</v>
      </c>
      <c r="B276" s="168" t="s">
        <v>104</v>
      </c>
      <c r="C276" s="182">
        <v>44408.0</v>
      </c>
      <c r="D276" s="183" t="s">
        <v>146</v>
      </c>
      <c r="E276" s="184">
        <v>280.0</v>
      </c>
      <c r="F276" s="171" t="s">
        <v>14</v>
      </c>
      <c r="G276" s="178" t="s">
        <v>16</v>
      </c>
    </row>
    <row r="277">
      <c r="A277" s="167" t="s">
        <v>63</v>
      </c>
      <c r="B277" s="168" t="s">
        <v>108</v>
      </c>
      <c r="C277" s="182">
        <v>44408.0</v>
      </c>
      <c r="D277" s="183" t="s">
        <v>190</v>
      </c>
      <c r="E277" s="184">
        <v>1.16</v>
      </c>
      <c r="F277" s="171" t="s">
        <v>14</v>
      </c>
      <c r="G277" s="178" t="s">
        <v>16</v>
      </c>
    </row>
    <row r="278">
      <c r="A278" s="167" t="s">
        <v>63</v>
      </c>
      <c r="B278" s="168"/>
      <c r="C278" s="182"/>
      <c r="D278" s="183"/>
      <c r="E278" s="184"/>
      <c r="F278" s="171"/>
      <c r="G278" s="178"/>
    </row>
    <row r="279">
      <c r="A279" s="167" t="s">
        <v>63</v>
      </c>
      <c r="B279" s="168"/>
      <c r="C279" s="182"/>
      <c r="D279" s="183"/>
      <c r="E279" s="184"/>
      <c r="F279" s="171"/>
      <c r="G279" s="163"/>
    </row>
    <row r="280">
      <c r="A280" s="167" t="s">
        <v>63</v>
      </c>
      <c r="B280" s="168"/>
      <c r="C280" s="182"/>
      <c r="D280" s="183"/>
      <c r="E280" s="184"/>
      <c r="F280" s="171"/>
      <c r="G280" s="163"/>
    </row>
    <row r="281">
      <c r="A281" s="167" t="s">
        <v>63</v>
      </c>
      <c r="B281" s="168"/>
      <c r="C281" s="182"/>
      <c r="D281" s="183"/>
      <c r="E281" s="184"/>
      <c r="F281" s="171"/>
      <c r="G281" s="163"/>
    </row>
    <row r="282">
      <c r="A282" s="167" t="s">
        <v>63</v>
      </c>
      <c r="B282" s="168"/>
      <c r="C282" s="182"/>
      <c r="D282" s="183"/>
      <c r="E282" s="184"/>
      <c r="F282" s="171"/>
      <c r="G282" s="163"/>
    </row>
    <row r="283">
      <c r="A283" s="167" t="s">
        <v>63</v>
      </c>
      <c r="B283" s="168"/>
      <c r="C283" s="182"/>
      <c r="D283" s="183"/>
      <c r="E283" s="184"/>
      <c r="F283" s="171"/>
      <c r="G283" s="163"/>
    </row>
    <row r="284">
      <c r="A284" s="167" t="s">
        <v>63</v>
      </c>
      <c r="B284" s="168"/>
      <c r="C284" s="182"/>
      <c r="D284" s="183"/>
      <c r="E284" s="184"/>
      <c r="F284" s="171"/>
      <c r="G284" s="163"/>
    </row>
    <row r="285">
      <c r="A285" s="167" t="s">
        <v>63</v>
      </c>
      <c r="B285" s="168"/>
      <c r="C285" s="182"/>
      <c r="D285" s="183"/>
      <c r="E285" s="184"/>
      <c r="F285" s="171"/>
      <c r="G285" s="163"/>
    </row>
    <row r="286">
      <c r="A286" s="167" t="s">
        <v>63</v>
      </c>
      <c r="B286" s="168"/>
      <c r="C286" s="182"/>
      <c r="D286" s="183"/>
      <c r="E286" s="184"/>
      <c r="F286" s="171"/>
      <c r="G286" s="163"/>
    </row>
    <row r="287">
      <c r="A287" s="167" t="s">
        <v>63</v>
      </c>
      <c r="B287" s="168"/>
      <c r="C287" s="182"/>
      <c r="D287" s="183"/>
      <c r="E287" s="184"/>
      <c r="F287" s="171"/>
      <c r="G287" s="163"/>
    </row>
    <row r="288">
      <c r="A288" s="167" t="s">
        <v>63</v>
      </c>
      <c r="B288" s="168"/>
      <c r="C288" s="182"/>
      <c r="D288" s="183"/>
      <c r="E288" s="184"/>
      <c r="F288" s="171"/>
      <c r="G288" s="163"/>
    </row>
    <row r="289">
      <c r="A289" s="167" t="s">
        <v>63</v>
      </c>
      <c r="B289" s="168"/>
      <c r="C289" s="182"/>
      <c r="D289" s="183"/>
      <c r="E289" s="184"/>
      <c r="F289" s="171"/>
      <c r="G289" s="163"/>
    </row>
    <row r="290">
      <c r="A290" s="167" t="s">
        <v>63</v>
      </c>
      <c r="B290" s="168"/>
      <c r="C290" s="182"/>
      <c r="D290" s="183"/>
      <c r="E290" s="184"/>
      <c r="F290" s="171"/>
      <c r="G290" s="163"/>
    </row>
    <row r="291">
      <c r="A291" s="167" t="s">
        <v>63</v>
      </c>
      <c r="B291" s="168"/>
      <c r="C291" s="182"/>
      <c r="D291" s="183"/>
      <c r="E291" s="184"/>
      <c r="F291" s="171"/>
      <c r="G291" s="163"/>
    </row>
    <row r="292">
      <c r="A292" s="167" t="s">
        <v>63</v>
      </c>
      <c r="B292" s="168"/>
      <c r="C292" s="182"/>
      <c r="D292" s="183"/>
      <c r="E292" s="184"/>
      <c r="F292" s="171"/>
      <c r="G292" s="163"/>
    </row>
    <row r="293">
      <c r="A293" s="167" t="s">
        <v>63</v>
      </c>
      <c r="B293" s="168"/>
      <c r="C293" s="182"/>
      <c r="D293" s="183"/>
      <c r="E293" s="184"/>
      <c r="F293" s="171"/>
      <c r="G293" s="163"/>
    </row>
    <row r="294">
      <c r="A294" s="167" t="s">
        <v>63</v>
      </c>
      <c r="B294" s="168"/>
      <c r="C294" s="182"/>
      <c r="D294" s="183"/>
      <c r="E294" s="184"/>
      <c r="F294" s="171"/>
      <c r="G294" s="163"/>
    </row>
    <row r="295">
      <c r="A295" s="187" t="s">
        <v>63</v>
      </c>
      <c r="B295" s="196"/>
      <c r="C295" s="197"/>
      <c r="D295" s="198"/>
      <c r="E295" s="199"/>
      <c r="F295" s="200"/>
      <c r="G295" s="188"/>
    </row>
    <row r="296">
      <c r="E296" s="209"/>
    </row>
    <row r="297">
      <c r="A297" s="157" t="s">
        <v>64</v>
      </c>
      <c r="B297" s="158" t="s">
        <v>112</v>
      </c>
      <c r="C297" s="191">
        <v>44409.0</v>
      </c>
      <c r="D297" s="192" t="s">
        <v>191</v>
      </c>
      <c r="E297" s="205">
        <v>35.0</v>
      </c>
      <c r="F297" s="162" t="s">
        <v>14</v>
      </c>
      <c r="G297" s="194" t="s">
        <v>16</v>
      </c>
    </row>
    <row r="298">
      <c r="A298" s="167" t="s">
        <v>64</v>
      </c>
      <c r="B298" s="168" t="s">
        <v>104</v>
      </c>
      <c r="C298" s="182">
        <v>44410.0</v>
      </c>
      <c r="D298" s="183" t="s">
        <v>192</v>
      </c>
      <c r="E298" s="207">
        <v>300.0</v>
      </c>
      <c r="F298" s="171" t="s">
        <v>14</v>
      </c>
      <c r="G298" s="163" t="s">
        <v>16</v>
      </c>
    </row>
    <row r="299">
      <c r="A299" s="167" t="s">
        <v>64</v>
      </c>
      <c r="B299" s="168" t="s">
        <v>87</v>
      </c>
      <c r="C299" s="182">
        <v>44421.0</v>
      </c>
      <c r="D299" s="183" t="s">
        <v>87</v>
      </c>
      <c r="E299" s="207">
        <v>130.0</v>
      </c>
      <c r="F299" s="171" t="s">
        <v>14</v>
      </c>
      <c r="G299" s="163" t="s">
        <v>16</v>
      </c>
    </row>
    <row r="300">
      <c r="A300" s="167" t="s">
        <v>64</v>
      </c>
      <c r="B300" s="168" t="s">
        <v>100</v>
      </c>
      <c r="C300" s="182">
        <v>44421.0</v>
      </c>
      <c r="D300" s="183" t="s">
        <v>193</v>
      </c>
      <c r="E300" s="207">
        <v>80.0</v>
      </c>
      <c r="F300" s="171" t="s">
        <v>14</v>
      </c>
      <c r="G300" s="163" t="s">
        <v>16</v>
      </c>
    </row>
    <row r="301">
      <c r="A301" s="167" t="s">
        <v>64</v>
      </c>
      <c r="B301" s="168" t="s">
        <v>87</v>
      </c>
      <c r="C301" s="182">
        <v>44428.0</v>
      </c>
      <c r="D301" s="183" t="s">
        <v>87</v>
      </c>
      <c r="E301" s="207">
        <v>130.0</v>
      </c>
      <c r="F301" s="171" t="s">
        <v>14</v>
      </c>
      <c r="G301" s="163" t="s">
        <v>16</v>
      </c>
    </row>
    <row r="302">
      <c r="A302" s="167" t="s">
        <v>64</v>
      </c>
      <c r="B302" s="168" t="s">
        <v>104</v>
      </c>
      <c r="C302" s="182">
        <v>44430.0</v>
      </c>
      <c r="D302" s="183" t="s">
        <v>194</v>
      </c>
      <c r="E302" s="207">
        <v>95.0</v>
      </c>
      <c r="F302" s="171" t="s">
        <v>14</v>
      </c>
      <c r="G302" s="163" t="s">
        <v>16</v>
      </c>
    </row>
    <row r="303">
      <c r="A303" s="167" t="s">
        <v>64</v>
      </c>
      <c r="B303" s="168" t="s">
        <v>104</v>
      </c>
      <c r="C303" s="182">
        <v>44433.0</v>
      </c>
      <c r="D303" s="183" t="s">
        <v>195</v>
      </c>
      <c r="E303" s="207">
        <v>195.0</v>
      </c>
      <c r="F303" s="171" t="s">
        <v>14</v>
      </c>
      <c r="G303" s="163" t="s">
        <v>16</v>
      </c>
    </row>
    <row r="304">
      <c r="A304" s="167" t="s">
        <v>64</v>
      </c>
      <c r="B304" s="168" t="s">
        <v>87</v>
      </c>
      <c r="C304" s="182">
        <v>44435.0</v>
      </c>
      <c r="D304" s="183" t="s">
        <v>87</v>
      </c>
      <c r="E304" s="207">
        <v>130.0</v>
      </c>
      <c r="F304" s="171" t="s">
        <v>14</v>
      </c>
      <c r="G304" s="163" t="s">
        <v>16</v>
      </c>
    </row>
    <row r="305">
      <c r="A305" s="167" t="s">
        <v>64</v>
      </c>
      <c r="B305" s="168" t="s">
        <v>104</v>
      </c>
      <c r="C305" s="182">
        <v>44438.0</v>
      </c>
      <c r="D305" s="183" t="s">
        <v>146</v>
      </c>
      <c r="E305" s="207">
        <v>280.0</v>
      </c>
      <c r="F305" s="171" t="s">
        <v>14</v>
      </c>
      <c r="G305" s="163" t="s">
        <v>16</v>
      </c>
    </row>
    <row r="306">
      <c r="A306" s="167" t="s">
        <v>64</v>
      </c>
      <c r="B306" s="168" t="s">
        <v>104</v>
      </c>
      <c r="C306" s="182">
        <v>44439.0</v>
      </c>
      <c r="D306" s="183" t="s">
        <v>192</v>
      </c>
      <c r="E306" s="207">
        <v>300.0</v>
      </c>
      <c r="F306" s="171" t="s">
        <v>14</v>
      </c>
      <c r="G306" s="163" t="s">
        <v>16</v>
      </c>
    </row>
    <row r="307">
      <c r="A307" s="167" t="s">
        <v>64</v>
      </c>
      <c r="B307" s="168" t="s">
        <v>100</v>
      </c>
      <c r="C307" s="182">
        <v>44439.0</v>
      </c>
      <c r="D307" s="183" t="s">
        <v>196</v>
      </c>
      <c r="E307" s="184">
        <v>0.79</v>
      </c>
      <c r="F307" s="171" t="s">
        <v>14</v>
      </c>
      <c r="G307" s="163" t="s">
        <v>16</v>
      </c>
    </row>
    <row r="308">
      <c r="A308" s="167" t="s">
        <v>64</v>
      </c>
      <c r="B308" s="168"/>
      <c r="C308" s="182"/>
      <c r="D308" s="183"/>
      <c r="E308" s="184"/>
      <c r="F308" s="171"/>
      <c r="G308" s="178"/>
    </row>
    <row r="309">
      <c r="A309" s="167" t="s">
        <v>64</v>
      </c>
      <c r="B309" s="168"/>
      <c r="C309" s="182"/>
      <c r="D309" s="183"/>
      <c r="E309" s="184"/>
      <c r="F309" s="171"/>
      <c r="G309" s="178"/>
    </row>
    <row r="310">
      <c r="A310" s="167" t="s">
        <v>64</v>
      </c>
      <c r="B310" s="168"/>
      <c r="C310" s="182"/>
      <c r="D310" s="183"/>
      <c r="E310" s="184"/>
      <c r="F310" s="171"/>
      <c r="G310" s="178"/>
    </row>
    <row r="311">
      <c r="A311" s="167" t="s">
        <v>64</v>
      </c>
      <c r="B311" s="168"/>
      <c r="C311" s="182"/>
      <c r="D311" s="183"/>
      <c r="E311" s="184"/>
      <c r="F311" s="171"/>
      <c r="G311" s="178"/>
    </row>
    <row r="312">
      <c r="A312" s="167" t="s">
        <v>64</v>
      </c>
      <c r="B312" s="168"/>
      <c r="C312" s="182"/>
      <c r="D312" s="183"/>
      <c r="E312" s="184"/>
      <c r="F312" s="171"/>
      <c r="G312" s="178"/>
    </row>
    <row r="313">
      <c r="A313" s="167" t="s">
        <v>64</v>
      </c>
      <c r="B313" s="168"/>
      <c r="C313" s="182"/>
      <c r="D313" s="183"/>
      <c r="E313" s="184"/>
      <c r="F313" s="171"/>
      <c r="G313" s="178"/>
    </row>
    <row r="314">
      <c r="A314" s="167" t="s">
        <v>64</v>
      </c>
      <c r="B314" s="168"/>
      <c r="C314" s="182"/>
      <c r="D314" s="183"/>
      <c r="E314" s="184"/>
      <c r="F314" s="171"/>
      <c r="G314" s="178"/>
    </row>
    <row r="315">
      <c r="A315" s="167" t="s">
        <v>64</v>
      </c>
      <c r="B315" s="168"/>
      <c r="C315" s="182"/>
      <c r="D315" s="183"/>
      <c r="E315" s="184"/>
      <c r="F315" s="171"/>
      <c r="G315" s="178"/>
    </row>
    <row r="316">
      <c r="A316" s="167" t="s">
        <v>64</v>
      </c>
      <c r="B316" s="168"/>
      <c r="C316" s="182"/>
      <c r="D316" s="183"/>
      <c r="E316" s="184"/>
      <c r="F316" s="171"/>
      <c r="G316" s="178"/>
    </row>
    <row r="317">
      <c r="A317" s="167" t="s">
        <v>64</v>
      </c>
      <c r="B317" s="168"/>
      <c r="C317" s="182"/>
      <c r="D317" s="183"/>
      <c r="E317" s="184"/>
      <c r="F317" s="171"/>
      <c r="G317" s="178"/>
    </row>
    <row r="318">
      <c r="A318" s="167" t="s">
        <v>64</v>
      </c>
      <c r="B318" s="168"/>
      <c r="C318" s="182"/>
      <c r="D318" s="183"/>
      <c r="E318" s="184"/>
      <c r="F318" s="171"/>
      <c r="G318" s="178"/>
    </row>
    <row r="319">
      <c r="A319" s="167" t="s">
        <v>64</v>
      </c>
      <c r="B319" s="168"/>
      <c r="C319" s="182"/>
      <c r="D319" s="183"/>
      <c r="E319" s="184"/>
      <c r="F319" s="171"/>
      <c r="G319" s="178"/>
    </row>
    <row r="320">
      <c r="A320" s="167" t="s">
        <v>64</v>
      </c>
      <c r="B320" s="168"/>
      <c r="C320" s="182"/>
      <c r="D320" s="183"/>
      <c r="E320" s="184"/>
      <c r="F320" s="171"/>
      <c r="G320" s="178"/>
    </row>
    <row r="321">
      <c r="A321" s="167" t="s">
        <v>64</v>
      </c>
      <c r="B321" s="168"/>
      <c r="C321" s="182"/>
      <c r="D321" s="183"/>
      <c r="E321" s="184"/>
      <c r="F321" s="171"/>
      <c r="G321" s="163"/>
    </row>
    <row r="322">
      <c r="A322" s="167" t="s">
        <v>64</v>
      </c>
      <c r="B322" s="168"/>
      <c r="C322" s="182"/>
      <c r="D322" s="183"/>
      <c r="E322" s="184"/>
      <c r="F322" s="171"/>
      <c r="G322" s="163"/>
    </row>
    <row r="323">
      <c r="A323" s="167" t="s">
        <v>64</v>
      </c>
      <c r="B323" s="168"/>
      <c r="C323" s="182"/>
      <c r="D323" s="183"/>
      <c r="E323" s="184"/>
      <c r="F323" s="171"/>
      <c r="G323" s="163"/>
    </row>
    <row r="324">
      <c r="A324" s="167" t="s">
        <v>64</v>
      </c>
      <c r="B324" s="168"/>
      <c r="C324" s="182"/>
      <c r="D324" s="183"/>
      <c r="E324" s="184"/>
      <c r="F324" s="171"/>
      <c r="G324" s="163"/>
    </row>
    <row r="325">
      <c r="A325" s="167" t="s">
        <v>64</v>
      </c>
      <c r="B325" s="168"/>
      <c r="C325" s="182"/>
      <c r="D325" s="183"/>
      <c r="E325" s="184"/>
      <c r="F325" s="171"/>
      <c r="G325" s="163"/>
    </row>
    <row r="326">
      <c r="A326" s="167" t="s">
        <v>64</v>
      </c>
      <c r="B326" s="168"/>
      <c r="C326" s="182"/>
      <c r="D326" s="183"/>
      <c r="E326" s="184"/>
      <c r="F326" s="171"/>
      <c r="G326" s="163"/>
    </row>
    <row r="327">
      <c r="A327" s="167" t="s">
        <v>64</v>
      </c>
      <c r="B327" s="168"/>
      <c r="C327" s="182"/>
      <c r="D327" s="183"/>
      <c r="E327" s="184"/>
      <c r="F327" s="171"/>
      <c r="G327" s="163"/>
    </row>
    <row r="328">
      <c r="A328" s="167" t="s">
        <v>64</v>
      </c>
      <c r="B328" s="168"/>
      <c r="C328" s="182"/>
      <c r="D328" s="183"/>
      <c r="E328" s="184"/>
      <c r="F328" s="171"/>
      <c r="G328" s="163"/>
    </row>
    <row r="329">
      <c r="A329" s="167" t="s">
        <v>64</v>
      </c>
      <c r="B329" s="168"/>
      <c r="C329" s="182"/>
      <c r="D329" s="183"/>
      <c r="E329" s="184"/>
      <c r="F329" s="171"/>
      <c r="G329" s="163"/>
    </row>
    <row r="330">
      <c r="A330" s="167" t="s">
        <v>64</v>
      </c>
      <c r="B330" s="168"/>
      <c r="C330" s="182"/>
      <c r="D330" s="183"/>
      <c r="E330" s="184"/>
      <c r="F330" s="171"/>
      <c r="G330" s="163"/>
    </row>
    <row r="331">
      <c r="A331" s="167" t="s">
        <v>64</v>
      </c>
      <c r="B331" s="168"/>
      <c r="C331" s="182"/>
      <c r="D331" s="183"/>
      <c r="E331" s="184"/>
      <c r="F331" s="171"/>
      <c r="G331" s="163"/>
    </row>
    <row r="332">
      <c r="A332" s="167" t="s">
        <v>64</v>
      </c>
      <c r="B332" s="168"/>
      <c r="C332" s="182"/>
      <c r="D332" s="183"/>
      <c r="E332" s="184"/>
      <c r="F332" s="171"/>
      <c r="G332" s="163"/>
    </row>
    <row r="333">
      <c r="A333" s="167" t="s">
        <v>64</v>
      </c>
      <c r="B333" s="168"/>
      <c r="C333" s="182"/>
      <c r="D333" s="183"/>
      <c r="E333" s="184"/>
      <c r="F333" s="171"/>
      <c r="G333" s="163"/>
    </row>
    <row r="334">
      <c r="A334" s="167" t="s">
        <v>64</v>
      </c>
      <c r="B334" s="168"/>
      <c r="C334" s="182"/>
      <c r="D334" s="183"/>
      <c r="E334" s="184"/>
      <c r="F334" s="171"/>
      <c r="G334" s="163"/>
    </row>
    <row r="335">
      <c r="A335" s="167" t="s">
        <v>64</v>
      </c>
      <c r="B335" s="168"/>
      <c r="C335" s="182"/>
      <c r="D335" s="183"/>
      <c r="E335" s="184"/>
      <c r="F335" s="171"/>
      <c r="G335" s="163"/>
    </row>
    <row r="336">
      <c r="A336" s="167" t="s">
        <v>64</v>
      </c>
      <c r="B336" s="168"/>
      <c r="C336" s="182"/>
      <c r="D336" s="183"/>
      <c r="E336" s="184"/>
      <c r="F336" s="171"/>
      <c r="G336" s="163"/>
    </row>
    <row r="337">
      <c r="A337" s="187" t="s">
        <v>64</v>
      </c>
      <c r="B337" s="196"/>
      <c r="C337" s="197"/>
      <c r="D337" s="198"/>
      <c r="E337" s="199"/>
      <c r="F337" s="200"/>
      <c r="G337" s="188"/>
    </row>
    <row r="338">
      <c r="E338" s="209"/>
    </row>
    <row r="339">
      <c r="A339" s="157" t="s">
        <v>65</v>
      </c>
      <c r="B339" s="210" t="s">
        <v>104</v>
      </c>
      <c r="C339" s="191">
        <v>44441.0</v>
      </c>
      <c r="D339" s="192" t="s">
        <v>197</v>
      </c>
      <c r="E339" s="193">
        <v>100.0</v>
      </c>
      <c r="F339" s="162" t="s">
        <v>14</v>
      </c>
      <c r="G339" s="194" t="s">
        <v>16</v>
      </c>
    </row>
    <row r="340">
      <c r="A340" s="167" t="s">
        <v>65</v>
      </c>
      <c r="B340" s="211" t="s">
        <v>100</v>
      </c>
      <c r="C340" s="182">
        <v>44441.0</v>
      </c>
      <c r="D340" s="183" t="s">
        <v>198</v>
      </c>
      <c r="E340" s="184">
        <v>50.0</v>
      </c>
      <c r="F340" s="171" t="s">
        <v>14</v>
      </c>
      <c r="G340" s="163" t="s">
        <v>16</v>
      </c>
    </row>
    <row r="341">
      <c r="A341" s="167" t="s">
        <v>65</v>
      </c>
      <c r="B341" s="211" t="s">
        <v>104</v>
      </c>
      <c r="C341" s="182">
        <v>44443.0</v>
      </c>
      <c r="D341" s="183" t="s">
        <v>197</v>
      </c>
      <c r="E341" s="184">
        <v>130.0</v>
      </c>
      <c r="F341" s="171" t="s">
        <v>14</v>
      </c>
      <c r="G341" s="163" t="s">
        <v>16</v>
      </c>
    </row>
    <row r="342">
      <c r="A342" s="167" t="s">
        <v>65</v>
      </c>
      <c r="B342" s="211" t="s">
        <v>108</v>
      </c>
      <c r="C342" s="182">
        <v>44447.0</v>
      </c>
      <c r="D342" s="183" t="s">
        <v>199</v>
      </c>
      <c r="E342" s="184">
        <v>0.18</v>
      </c>
      <c r="F342" s="171" t="s">
        <v>14</v>
      </c>
      <c r="G342" s="163" t="s">
        <v>19</v>
      </c>
    </row>
    <row r="343">
      <c r="A343" s="167" t="s">
        <v>65</v>
      </c>
      <c r="B343" s="211" t="s">
        <v>108</v>
      </c>
      <c r="C343" s="182">
        <v>44447.0</v>
      </c>
      <c r="D343" s="183" t="s">
        <v>200</v>
      </c>
      <c r="E343" s="184">
        <v>1.12</v>
      </c>
      <c r="F343" s="171" t="s">
        <v>14</v>
      </c>
      <c r="G343" s="163" t="s">
        <v>16</v>
      </c>
    </row>
    <row r="344">
      <c r="A344" s="167" t="s">
        <v>65</v>
      </c>
      <c r="B344" s="211" t="s">
        <v>87</v>
      </c>
      <c r="C344" s="182">
        <v>44449.0</v>
      </c>
      <c r="D344" s="183" t="s">
        <v>87</v>
      </c>
      <c r="E344" s="184">
        <v>130.0</v>
      </c>
      <c r="F344" s="171" t="s">
        <v>14</v>
      </c>
      <c r="G344" s="163" t="s">
        <v>16</v>
      </c>
    </row>
    <row r="345">
      <c r="A345" s="167" t="s">
        <v>65</v>
      </c>
      <c r="B345" s="211" t="s">
        <v>104</v>
      </c>
      <c r="C345" s="182">
        <v>44451.0</v>
      </c>
      <c r="D345" s="183" t="s">
        <v>149</v>
      </c>
      <c r="E345" s="184">
        <v>100.0</v>
      </c>
      <c r="F345" s="171" t="s">
        <v>24</v>
      </c>
      <c r="G345" s="163" t="s">
        <v>26</v>
      </c>
    </row>
    <row r="346">
      <c r="A346" s="167" t="s">
        <v>65</v>
      </c>
      <c r="B346" s="211" t="s">
        <v>104</v>
      </c>
      <c r="C346" s="182">
        <v>44454.0</v>
      </c>
      <c r="D346" s="183" t="s">
        <v>135</v>
      </c>
      <c r="E346" s="184">
        <v>76.0</v>
      </c>
      <c r="F346" s="171" t="s">
        <v>14</v>
      </c>
      <c r="G346" s="163" t="s">
        <v>16</v>
      </c>
    </row>
    <row r="347">
      <c r="A347" s="167" t="s">
        <v>65</v>
      </c>
      <c r="B347" s="211" t="s">
        <v>87</v>
      </c>
      <c r="C347" s="182">
        <v>44454.0</v>
      </c>
      <c r="D347" s="183" t="s">
        <v>87</v>
      </c>
      <c r="E347" s="184">
        <v>10.0</v>
      </c>
      <c r="F347" s="171" t="s">
        <v>14</v>
      </c>
      <c r="G347" s="163" t="s">
        <v>16</v>
      </c>
    </row>
    <row r="348">
      <c r="A348" s="167" t="s">
        <v>65</v>
      </c>
      <c r="B348" s="211" t="s">
        <v>87</v>
      </c>
      <c r="C348" s="182">
        <v>44456.0</v>
      </c>
      <c r="D348" s="183" t="s">
        <v>87</v>
      </c>
      <c r="E348" s="184">
        <v>130.0</v>
      </c>
      <c r="F348" s="171" t="s">
        <v>14</v>
      </c>
      <c r="G348" s="163" t="s">
        <v>16</v>
      </c>
    </row>
    <row r="349">
      <c r="A349" s="167" t="s">
        <v>65</v>
      </c>
      <c r="B349" s="211" t="s">
        <v>104</v>
      </c>
      <c r="C349" s="182">
        <v>44457.0</v>
      </c>
      <c r="D349" s="183" t="s">
        <v>201</v>
      </c>
      <c r="E349" s="184">
        <v>34.0</v>
      </c>
      <c r="F349" s="171" t="s">
        <v>14</v>
      </c>
      <c r="G349" s="163" t="s">
        <v>16</v>
      </c>
    </row>
    <row r="350">
      <c r="A350" s="167" t="s">
        <v>65</v>
      </c>
      <c r="B350" s="211" t="s">
        <v>100</v>
      </c>
      <c r="C350" s="182">
        <v>44456.0</v>
      </c>
      <c r="D350" s="183" t="s">
        <v>202</v>
      </c>
      <c r="E350" s="184">
        <v>70.0</v>
      </c>
      <c r="F350" s="171" t="s">
        <v>14</v>
      </c>
      <c r="G350" s="163" t="s">
        <v>16</v>
      </c>
    </row>
    <row r="351">
      <c r="A351" s="167" t="s">
        <v>65</v>
      </c>
      <c r="B351" s="211" t="s">
        <v>104</v>
      </c>
      <c r="C351" s="182">
        <v>44460.0</v>
      </c>
      <c r="D351" s="183" t="s">
        <v>188</v>
      </c>
      <c r="E351" s="184">
        <v>131.0</v>
      </c>
      <c r="F351" s="171" t="s">
        <v>14</v>
      </c>
      <c r="G351" s="163" t="s">
        <v>16</v>
      </c>
    </row>
    <row r="352">
      <c r="A352" s="167" t="s">
        <v>65</v>
      </c>
      <c r="B352" s="211" t="s">
        <v>104</v>
      </c>
      <c r="C352" s="182">
        <v>44463.0</v>
      </c>
      <c r="D352" s="183" t="s">
        <v>146</v>
      </c>
      <c r="E352" s="184">
        <v>280.0</v>
      </c>
      <c r="F352" s="171" t="s">
        <v>14</v>
      </c>
      <c r="G352" s="163" t="s">
        <v>16</v>
      </c>
    </row>
    <row r="353">
      <c r="A353" s="167" t="s">
        <v>65</v>
      </c>
      <c r="B353" s="211" t="s">
        <v>87</v>
      </c>
      <c r="C353" s="182">
        <v>44463.0</v>
      </c>
      <c r="D353" s="183" t="s">
        <v>87</v>
      </c>
      <c r="E353" s="184">
        <v>130.0</v>
      </c>
      <c r="F353" s="171" t="s">
        <v>14</v>
      </c>
      <c r="G353" s="163" t="s">
        <v>16</v>
      </c>
    </row>
    <row r="354">
      <c r="A354" s="167" t="s">
        <v>65</v>
      </c>
      <c r="B354" s="211" t="s">
        <v>104</v>
      </c>
      <c r="C354" s="182">
        <v>44466.0</v>
      </c>
      <c r="D354" s="183" t="s">
        <v>203</v>
      </c>
      <c r="E354" s="184">
        <v>4.0</v>
      </c>
      <c r="F354" s="171" t="s">
        <v>14</v>
      </c>
      <c r="G354" s="163" t="s">
        <v>16</v>
      </c>
    </row>
    <row r="355">
      <c r="A355" s="167" t="s">
        <v>65</v>
      </c>
      <c r="B355" s="211" t="s">
        <v>100</v>
      </c>
      <c r="C355" s="182">
        <v>44468.0</v>
      </c>
      <c r="D355" s="183" t="s">
        <v>204</v>
      </c>
      <c r="E355" s="184">
        <v>30.0</v>
      </c>
      <c r="F355" s="171" t="s">
        <v>14</v>
      </c>
      <c r="G355" s="163" t="s">
        <v>16</v>
      </c>
    </row>
    <row r="356">
      <c r="A356" s="167" t="s">
        <v>65</v>
      </c>
      <c r="B356" s="211"/>
      <c r="C356" s="182"/>
      <c r="D356" s="183"/>
      <c r="E356" s="184"/>
      <c r="F356" s="171"/>
      <c r="G356" s="178"/>
    </row>
    <row r="357">
      <c r="A357" s="167" t="s">
        <v>65</v>
      </c>
      <c r="B357" s="211"/>
      <c r="C357" s="182"/>
      <c r="D357" s="183"/>
      <c r="E357" s="184"/>
      <c r="F357" s="171"/>
      <c r="G357" s="178"/>
    </row>
    <row r="358">
      <c r="A358" s="167" t="s">
        <v>65</v>
      </c>
      <c r="B358" s="211"/>
      <c r="C358" s="182"/>
      <c r="D358" s="183"/>
      <c r="E358" s="184"/>
      <c r="F358" s="171"/>
      <c r="G358" s="178"/>
    </row>
    <row r="359">
      <c r="A359" s="167" t="s">
        <v>65</v>
      </c>
      <c r="B359" s="211"/>
      <c r="C359" s="182"/>
      <c r="D359" s="183"/>
      <c r="E359" s="184"/>
      <c r="F359" s="171"/>
      <c r="G359" s="178"/>
    </row>
    <row r="360">
      <c r="A360" s="167" t="s">
        <v>65</v>
      </c>
      <c r="B360" s="211"/>
      <c r="C360" s="182"/>
      <c r="D360" s="183"/>
      <c r="E360" s="184"/>
      <c r="F360" s="171"/>
      <c r="G360" s="178"/>
    </row>
    <row r="361">
      <c r="A361" s="167" t="s">
        <v>65</v>
      </c>
      <c r="B361" s="211"/>
      <c r="C361" s="182"/>
      <c r="D361" s="183"/>
      <c r="E361" s="184"/>
      <c r="F361" s="171"/>
      <c r="G361" s="178"/>
    </row>
    <row r="362">
      <c r="A362" s="167" t="s">
        <v>65</v>
      </c>
      <c r="B362" s="211"/>
      <c r="C362" s="182"/>
      <c r="D362" s="183"/>
      <c r="E362" s="184"/>
      <c r="F362" s="171"/>
      <c r="G362" s="178"/>
    </row>
    <row r="363">
      <c r="A363" s="167" t="s">
        <v>65</v>
      </c>
      <c r="B363" s="211"/>
      <c r="C363" s="182"/>
      <c r="D363" s="183"/>
      <c r="E363" s="184"/>
      <c r="F363" s="171"/>
      <c r="G363" s="163"/>
    </row>
    <row r="364">
      <c r="A364" s="167" t="s">
        <v>65</v>
      </c>
      <c r="B364" s="211"/>
      <c r="C364" s="182"/>
      <c r="D364" s="183"/>
      <c r="E364" s="184"/>
      <c r="F364" s="171"/>
      <c r="G364" s="163"/>
    </row>
    <row r="365">
      <c r="A365" s="167" t="s">
        <v>65</v>
      </c>
      <c r="B365" s="211"/>
      <c r="C365" s="182"/>
      <c r="D365" s="183"/>
      <c r="E365" s="184"/>
      <c r="F365" s="171"/>
      <c r="G365" s="163"/>
    </row>
    <row r="366">
      <c r="A366" s="167" t="s">
        <v>65</v>
      </c>
      <c r="B366" s="211"/>
      <c r="C366" s="182"/>
      <c r="D366" s="183"/>
      <c r="E366" s="184"/>
      <c r="F366" s="171"/>
      <c r="G366" s="163"/>
    </row>
    <row r="367">
      <c r="A367" s="167" t="s">
        <v>65</v>
      </c>
      <c r="B367" s="211"/>
      <c r="C367" s="182"/>
      <c r="D367" s="183"/>
      <c r="E367" s="184"/>
      <c r="F367" s="171"/>
      <c r="G367" s="163"/>
    </row>
    <row r="368">
      <c r="A368" s="167" t="s">
        <v>65</v>
      </c>
      <c r="B368" s="211"/>
      <c r="C368" s="182"/>
      <c r="D368" s="183"/>
      <c r="E368" s="184"/>
      <c r="F368" s="171"/>
      <c r="G368" s="163"/>
    </row>
    <row r="369">
      <c r="A369" s="167" t="s">
        <v>65</v>
      </c>
      <c r="B369" s="211"/>
      <c r="C369" s="182"/>
      <c r="D369" s="183"/>
      <c r="E369" s="184"/>
      <c r="F369" s="171"/>
      <c r="G369" s="163"/>
    </row>
    <row r="370">
      <c r="A370" s="167" t="s">
        <v>65</v>
      </c>
      <c r="B370" s="211"/>
      <c r="C370" s="182"/>
      <c r="D370" s="183"/>
      <c r="E370" s="184"/>
      <c r="F370" s="171"/>
      <c r="G370" s="163"/>
    </row>
    <row r="371">
      <c r="A371" s="167" t="s">
        <v>65</v>
      </c>
      <c r="B371" s="211"/>
      <c r="C371" s="182"/>
      <c r="D371" s="183"/>
      <c r="E371" s="184"/>
      <c r="F371" s="171"/>
      <c r="G371" s="163"/>
    </row>
    <row r="372">
      <c r="A372" s="167" t="s">
        <v>65</v>
      </c>
      <c r="B372" s="211"/>
      <c r="C372" s="182"/>
      <c r="D372" s="183"/>
      <c r="E372" s="184"/>
      <c r="F372" s="171"/>
      <c r="G372" s="163"/>
    </row>
    <row r="373">
      <c r="A373" s="167" t="s">
        <v>65</v>
      </c>
      <c r="B373" s="211"/>
      <c r="C373" s="182"/>
      <c r="D373" s="183"/>
      <c r="E373" s="184"/>
      <c r="F373" s="171"/>
      <c r="G373" s="163"/>
    </row>
    <row r="374">
      <c r="A374" s="167" t="s">
        <v>65</v>
      </c>
      <c r="B374" s="211"/>
      <c r="C374" s="182"/>
      <c r="D374" s="183"/>
      <c r="E374" s="184"/>
      <c r="F374" s="171"/>
      <c r="G374" s="163"/>
    </row>
    <row r="375">
      <c r="A375" s="167" t="s">
        <v>65</v>
      </c>
      <c r="B375" s="211"/>
      <c r="C375" s="182"/>
      <c r="D375" s="183"/>
      <c r="E375" s="184"/>
      <c r="F375" s="171"/>
      <c r="G375" s="163"/>
    </row>
    <row r="376">
      <c r="A376" s="167" t="s">
        <v>65</v>
      </c>
      <c r="B376" s="211"/>
      <c r="C376" s="182"/>
      <c r="D376" s="183"/>
      <c r="E376" s="184"/>
      <c r="F376" s="171"/>
      <c r="G376" s="163"/>
    </row>
    <row r="377">
      <c r="A377" s="167" t="s">
        <v>65</v>
      </c>
      <c r="B377" s="211"/>
      <c r="C377" s="182"/>
      <c r="D377" s="183"/>
      <c r="E377" s="184"/>
      <c r="F377" s="171"/>
      <c r="G377" s="163"/>
    </row>
    <row r="378">
      <c r="A378" s="167" t="s">
        <v>65</v>
      </c>
      <c r="B378" s="211"/>
      <c r="C378" s="182"/>
      <c r="D378" s="183"/>
      <c r="E378" s="184"/>
      <c r="F378" s="171"/>
      <c r="G378" s="163"/>
    </row>
    <row r="379">
      <c r="A379" s="187" t="s">
        <v>65</v>
      </c>
      <c r="B379" s="212"/>
      <c r="C379" s="197"/>
      <c r="D379" s="198"/>
      <c r="E379" s="199"/>
      <c r="F379" s="200"/>
      <c r="G379" s="188"/>
    </row>
    <row r="380">
      <c r="E380" s="209"/>
    </row>
    <row r="381">
      <c r="A381" s="157" t="s">
        <v>66</v>
      </c>
      <c r="B381" s="158" t="s">
        <v>87</v>
      </c>
      <c r="C381" s="191">
        <v>44470.0</v>
      </c>
      <c r="D381" s="192" t="s">
        <v>87</v>
      </c>
      <c r="E381" s="205">
        <v>130.0</v>
      </c>
      <c r="F381" s="162" t="s">
        <v>14</v>
      </c>
      <c r="G381" s="194" t="s">
        <v>16</v>
      </c>
    </row>
    <row r="382">
      <c r="A382" s="167" t="s">
        <v>66</v>
      </c>
      <c r="B382" s="168" t="s">
        <v>104</v>
      </c>
      <c r="C382" s="182">
        <v>44471.0</v>
      </c>
      <c r="D382" s="183" t="s">
        <v>205</v>
      </c>
      <c r="E382" s="207">
        <v>300.0</v>
      </c>
      <c r="F382" s="171" t="s">
        <v>14</v>
      </c>
      <c r="G382" s="163" t="s">
        <v>16</v>
      </c>
    </row>
    <row r="383">
      <c r="A383" s="167" t="s">
        <v>66</v>
      </c>
      <c r="B383" s="168" t="s">
        <v>104</v>
      </c>
      <c r="C383" s="182">
        <v>44475.0</v>
      </c>
      <c r="D383" s="183" t="s">
        <v>149</v>
      </c>
      <c r="E383" s="184">
        <v>20.0</v>
      </c>
      <c r="F383" s="171" t="s">
        <v>14</v>
      </c>
      <c r="G383" s="163" t="s">
        <v>16</v>
      </c>
    </row>
    <row r="384">
      <c r="A384" s="167" t="s">
        <v>66</v>
      </c>
      <c r="B384" s="168" t="s">
        <v>87</v>
      </c>
      <c r="C384" s="182">
        <v>44477.0</v>
      </c>
      <c r="D384" s="183" t="s">
        <v>87</v>
      </c>
      <c r="E384" s="184">
        <v>130.0</v>
      </c>
      <c r="F384" s="171" t="s">
        <v>14</v>
      </c>
      <c r="G384" s="163" t="s">
        <v>16</v>
      </c>
    </row>
    <row r="385">
      <c r="A385" s="167" t="s">
        <v>66</v>
      </c>
      <c r="B385" s="168" t="s">
        <v>104</v>
      </c>
      <c r="C385" s="182">
        <v>44478.0</v>
      </c>
      <c r="D385" s="183" t="s">
        <v>206</v>
      </c>
      <c r="E385" s="184">
        <v>100.0</v>
      </c>
      <c r="F385" s="171" t="s">
        <v>14</v>
      </c>
      <c r="G385" s="163" t="s">
        <v>16</v>
      </c>
    </row>
    <row r="386">
      <c r="A386" s="167" t="s">
        <v>66</v>
      </c>
      <c r="B386" s="168" t="s">
        <v>104</v>
      </c>
      <c r="C386" s="182">
        <v>44483.0</v>
      </c>
      <c r="D386" s="183" t="s">
        <v>135</v>
      </c>
      <c r="E386" s="184">
        <v>85.06</v>
      </c>
      <c r="F386" s="171" t="s">
        <v>14</v>
      </c>
      <c r="G386" s="163" t="s">
        <v>16</v>
      </c>
    </row>
    <row r="387">
      <c r="A387" s="167" t="s">
        <v>66</v>
      </c>
      <c r="B387" s="168" t="s">
        <v>87</v>
      </c>
      <c r="C387" s="182">
        <v>44483.0</v>
      </c>
      <c r="D387" s="183" t="s">
        <v>87</v>
      </c>
      <c r="E387" s="184">
        <v>14.94</v>
      </c>
      <c r="F387" s="171" t="s">
        <v>14</v>
      </c>
      <c r="G387" s="163" t="s">
        <v>16</v>
      </c>
    </row>
    <row r="388">
      <c r="A388" s="167" t="s">
        <v>66</v>
      </c>
      <c r="B388" s="168" t="s">
        <v>104</v>
      </c>
      <c r="C388" s="182">
        <v>44490.0</v>
      </c>
      <c r="D388" s="183" t="s">
        <v>149</v>
      </c>
      <c r="E388" s="184">
        <v>20.0</v>
      </c>
      <c r="F388" s="171" t="s">
        <v>14</v>
      </c>
      <c r="G388" s="163" t="s">
        <v>16</v>
      </c>
    </row>
    <row r="389">
      <c r="A389" s="167" t="s">
        <v>66</v>
      </c>
      <c r="B389" s="168" t="s">
        <v>87</v>
      </c>
      <c r="C389" s="182">
        <v>44491.0</v>
      </c>
      <c r="D389" s="183" t="s">
        <v>87</v>
      </c>
      <c r="E389" s="184">
        <v>130.0</v>
      </c>
      <c r="F389" s="171" t="s">
        <v>14</v>
      </c>
      <c r="G389" s="163" t="s">
        <v>16</v>
      </c>
    </row>
    <row r="390">
      <c r="A390" s="167" t="s">
        <v>66</v>
      </c>
      <c r="B390" s="168" t="s">
        <v>104</v>
      </c>
      <c r="C390" s="182">
        <v>44491.0</v>
      </c>
      <c r="D390" s="183" t="s">
        <v>149</v>
      </c>
      <c r="E390" s="184">
        <v>25.0</v>
      </c>
      <c r="F390" s="171" t="s">
        <v>14</v>
      </c>
      <c r="G390" s="163" t="s">
        <v>16</v>
      </c>
    </row>
    <row r="391">
      <c r="A391" s="167" t="s">
        <v>66</v>
      </c>
      <c r="B391" s="168" t="s">
        <v>104</v>
      </c>
      <c r="C391" s="182">
        <v>44494.0</v>
      </c>
      <c r="D391" s="183" t="s">
        <v>207</v>
      </c>
      <c r="E391" s="184">
        <v>28.5</v>
      </c>
      <c r="F391" s="171" t="s">
        <v>14</v>
      </c>
      <c r="G391" s="163" t="s">
        <v>16</v>
      </c>
    </row>
    <row r="392">
      <c r="A392" s="167" t="s">
        <v>66</v>
      </c>
      <c r="B392" s="168" t="s">
        <v>104</v>
      </c>
      <c r="C392" s="182">
        <v>44496.0</v>
      </c>
      <c r="D392" s="183" t="s">
        <v>149</v>
      </c>
      <c r="E392" s="184">
        <v>15.0</v>
      </c>
      <c r="F392" s="171" t="s">
        <v>14</v>
      </c>
      <c r="G392" s="163" t="s">
        <v>16</v>
      </c>
    </row>
    <row r="393">
      <c r="A393" s="167" t="s">
        <v>66</v>
      </c>
      <c r="B393" s="168" t="s">
        <v>104</v>
      </c>
      <c r="C393" s="182">
        <v>44496.0</v>
      </c>
      <c r="D393" s="183" t="s">
        <v>188</v>
      </c>
      <c r="E393" s="184">
        <v>132.0</v>
      </c>
      <c r="F393" s="171" t="s">
        <v>14</v>
      </c>
      <c r="G393" s="163" t="s">
        <v>16</v>
      </c>
    </row>
    <row r="394">
      <c r="A394" s="167" t="s">
        <v>66</v>
      </c>
      <c r="B394" s="168" t="s">
        <v>104</v>
      </c>
      <c r="C394" s="182">
        <v>44496.0</v>
      </c>
      <c r="D394" s="183" t="s">
        <v>146</v>
      </c>
      <c r="E394" s="184">
        <v>282.0</v>
      </c>
      <c r="F394" s="171" t="s">
        <v>14</v>
      </c>
      <c r="G394" s="163" t="s">
        <v>16</v>
      </c>
    </row>
    <row r="395">
      <c r="A395" s="167" t="s">
        <v>66</v>
      </c>
      <c r="B395" s="168" t="s">
        <v>87</v>
      </c>
      <c r="C395" s="182">
        <v>44497.0</v>
      </c>
      <c r="D395" s="183" t="s">
        <v>87</v>
      </c>
      <c r="E395" s="184">
        <v>130.0</v>
      </c>
      <c r="F395" s="171" t="s">
        <v>14</v>
      </c>
      <c r="G395" s="163" t="s">
        <v>16</v>
      </c>
    </row>
    <row r="396">
      <c r="A396" s="167" t="s">
        <v>66</v>
      </c>
      <c r="B396" s="168" t="s">
        <v>104</v>
      </c>
      <c r="C396" s="182">
        <v>44500.0</v>
      </c>
      <c r="D396" s="183" t="s">
        <v>149</v>
      </c>
      <c r="E396" s="184">
        <v>40.0</v>
      </c>
      <c r="F396" s="171" t="s">
        <v>14</v>
      </c>
      <c r="G396" s="163" t="s">
        <v>16</v>
      </c>
    </row>
    <row r="397">
      <c r="A397" s="167" t="s">
        <v>66</v>
      </c>
      <c r="B397" s="168" t="s">
        <v>108</v>
      </c>
      <c r="C397" s="182">
        <v>44500.0</v>
      </c>
      <c r="D397" s="183" t="s">
        <v>14</v>
      </c>
      <c r="E397" s="184">
        <v>0.72</v>
      </c>
      <c r="F397" s="171" t="s">
        <v>14</v>
      </c>
      <c r="G397" s="163" t="s">
        <v>16</v>
      </c>
    </row>
    <row r="398">
      <c r="A398" s="167" t="s">
        <v>66</v>
      </c>
      <c r="B398" s="168"/>
      <c r="C398" s="182"/>
      <c r="D398" s="183"/>
      <c r="E398" s="184"/>
      <c r="F398" s="171"/>
      <c r="G398" s="178"/>
    </row>
    <row r="399">
      <c r="A399" s="167" t="s">
        <v>66</v>
      </c>
      <c r="B399" s="168"/>
      <c r="C399" s="182"/>
      <c r="D399" s="183"/>
      <c r="E399" s="184"/>
      <c r="F399" s="171"/>
      <c r="G399" s="178"/>
    </row>
    <row r="400">
      <c r="A400" s="167" t="s">
        <v>66</v>
      </c>
      <c r="B400" s="168"/>
      <c r="C400" s="182"/>
      <c r="D400" s="183"/>
      <c r="E400" s="184"/>
      <c r="F400" s="171"/>
      <c r="G400" s="178"/>
    </row>
    <row r="401">
      <c r="A401" s="167" t="s">
        <v>66</v>
      </c>
      <c r="B401" s="168"/>
      <c r="C401" s="182"/>
      <c r="D401" s="183"/>
      <c r="E401" s="184"/>
      <c r="F401" s="171"/>
      <c r="G401" s="178"/>
    </row>
    <row r="402">
      <c r="A402" s="167" t="s">
        <v>66</v>
      </c>
      <c r="B402" s="168"/>
      <c r="C402" s="182"/>
      <c r="D402" s="183"/>
      <c r="E402" s="184"/>
      <c r="F402" s="171"/>
      <c r="G402" s="178"/>
    </row>
    <row r="403">
      <c r="A403" s="167" t="s">
        <v>66</v>
      </c>
      <c r="B403" s="168"/>
      <c r="C403" s="182"/>
      <c r="D403" s="183"/>
      <c r="E403" s="184"/>
      <c r="F403" s="171"/>
      <c r="G403" s="178"/>
    </row>
    <row r="404">
      <c r="A404" s="167" t="s">
        <v>66</v>
      </c>
      <c r="B404" s="168"/>
      <c r="C404" s="182"/>
      <c r="D404" s="183"/>
      <c r="E404" s="184"/>
      <c r="F404" s="171"/>
      <c r="G404" s="178"/>
    </row>
    <row r="405">
      <c r="A405" s="167" t="s">
        <v>66</v>
      </c>
      <c r="B405" s="168"/>
      <c r="C405" s="182"/>
      <c r="D405" s="183"/>
      <c r="E405" s="184"/>
      <c r="F405" s="171"/>
      <c r="G405" s="163"/>
    </row>
    <row r="406">
      <c r="A406" s="167" t="s">
        <v>66</v>
      </c>
      <c r="B406" s="168"/>
      <c r="C406" s="182"/>
      <c r="D406" s="183"/>
      <c r="E406" s="184"/>
      <c r="F406" s="171"/>
      <c r="G406" s="163"/>
    </row>
    <row r="407">
      <c r="A407" s="167" t="s">
        <v>66</v>
      </c>
      <c r="B407" s="168"/>
      <c r="C407" s="182"/>
      <c r="D407" s="183"/>
      <c r="E407" s="184"/>
      <c r="F407" s="171"/>
      <c r="G407" s="163"/>
    </row>
    <row r="408">
      <c r="A408" s="167" t="s">
        <v>66</v>
      </c>
      <c r="B408" s="168"/>
      <c r="C408" s="182"/>
      <c r="D408" s="183"/>
      <c r="E408" s="184"/>
      <c r="F408" s="171"/>
      <c r="G408" s="163"/>
    </row>
    <row r="409">
      <c r="A409" s="167" t="s">
        <v>66</v>
      </c>
      <c r="B409" s="168"/>
      <c r="C409" s="182"/>
      <c r="D409" s="183"/>
      <c r="E409" s="184"/>
      <c r="F409" s="171"/>
      <c r="G409" s="163"/>
    </row>
    <row r="410">
      <c r="A410" s="167" t="s">
        <v>66</v>
      </c>
      <c r="B410" s="168"/>
      <c r="C410" s="182"/>
      <c r="D410" s="183"/>
      <c r="E410" s="184"/>
      <c r="F410" s="171"/>
      <c r="G410" s="163"/>
    </row>
    <row r="411">
      <c r="A411" s="167" t="s">
        <v>66</v>
      </c>
      <c r="B411" s="168"/>
      <c r="C411" s="182"/>
      <c r="D411" s="183"/>
      <c r="E411" s="184"/>
      <c r="F411" s="171"/>
      <c r="G411" s="163"/>
    </row>
    <row r="412">
      <c r="A412" s="167" t="s">
        <v>66</v>
      </c>
      <c r="B412" s="168"/>
      <c r="C412" s="182"/>
      <c r="D412" s="183"/>
      <c r="E412" s="184"/>
      <c r="F412" s="171"/>
      <c r="G412" s="163"/>
    </row>
    <row r="413">
      <c r="A413" s="167" t="s">
        <v>66</v>
      </c>
      <c r="B413" s="168"/>
      <c r="C413" s="182"/>
      <c r="D413" s="183"/>
      <c r="E413" s="184"/>
      <c r="F413" s="171"/>
      <c r="G413" s="163"/>
    </row>
    <row r="414">
      <c r="A414" s="167" t="s">
        <v>66</v>
      </c>
      <c r="B414" s="168"/>
      <c r="C414" s="182"/>
      <c r="D414" s="183"/>
      <c r="E414" s="184"/>
      <c r="F414" s="171"/>
      <c r="G414" s="163"/>
    </row>
    <row r="415">
      <c r="A415" s="167" t="s">
        <v>66</v>
      </c>
      <c r="B415" s="168"/>
      <c r="C415" s="182"/>
      <c r="D415" s="183"/>
      <c r="E415" s="184"/>
      <c r="F415" s="171"/>
      <c r="G415" s="163"/>
    </row>
    <row r="416">
      <c r="A416" s="167" t="s">
        <v>66</v>
      </c>
      <c r="B416" s="168"/>
      <c r="C416" s="182"/>
      <c r="D416" s="183"/>
      <c r="E416" s="184"/>
      <c r="F416" s="171"/>
      <c r="G416" s="163"/>
    </row>
    <row r="417">
      <c r="A417" s="167" t="s">
        <v>66</v>
      </c>
      <c r="B417" s="168"/>
      <c r="C417" s="182"/>
      <c r="D417" s="183"/>
      <c r="E417" s="184"/>
      <c r="F417" s="171"/>
      <c r="G417" s="163"/>
    </row>
    <row r="418">
      <c r="A418" s="167" t="s">
        <v>66</v>
      </c>
      <c r="B418" s="168"/>
      <c r="C418" s="182"/>
      <c r="D418" s="183"/>
      <c r="E418" s="184"/>
      <c r="F418" s="171"/>
      <c r="G418" s="163"/>
    </row>
    <row r="419">
      <c r="A419" s="167" t="s">
        <v>66</v>
      </c>
      <c r="B419" s="168"/>
      <c r="C419" s="182"/>
      <c r="D419" s="183"/>
      <c r="E419" s="184"/>
      <c r="F419" s="171"/>
      <c r="G419" s="163"/>
    </row>
    <row r="420">
      <c r="A420" s="167" t="s">
        <v>66</v>
      </c>
      <c r="B420" s="168"/>
      <c r="C420" s="182"/>
      <c r="D420" s="183"/>
      <c r="E420" s="184"/>
      <c r="F420" s="171"/>
      <c r="G420" s="163"/>
    </row>
    <row r="421">
      <c r="A421" s="187" t="s">
        <v>66</v>
      </c>
      <c r="B421" s="196"/>
      <c r="C421" s="197"/>
      <c r="D421" s="198"/>
      <c r="E421" s="199"/>
      <c r="F421" s="200"/>
      <c r="G421" s="188"/>
    </row>
    <row r="422">
      <c r="E422" s="209"/>
    </row>
    <row r="423">
      <c r="A423" s="157" t="s">
        <v>67</v>
      </c>
      <c r="B423" s="158" t="s">
        <v>104</v>
      </c>
      <c r="C423" s="191">
        <v>44502.0</v>
      </c>
      <c r="D423" s="192" t="s">
        <v>135</v>
      </c>
      <c r="E423" s="193">
        <v>83.5</v>
      </c>
      <c r="F423" s="162" t="s">
        <v>14</v>
      </c>
      <c r="G423" s="194" t="s">
        <v>16</v>
      </c>
    </row>
    <row r="424">
      <c r="A424" s="167" t="s">
        <v>67</v>
      </c>
      <c r="B424" s="168" t="s">
        <v>104</v>
      </c>
      <c r="C424" s="182">
        <v>44502.0</v>
      </c>
      <c r="D424" s="183" t="s">
        <v>208</v>
      </c>
      <c r="E424" s="184">
        <v>100.0</v>
      </c>
      <c r="F424" s="171" t="s">
        <v>24</v>
      </c>
      <c r="G424" s="163" t="s">
        <v>26</v>
      </c>
    </row>
    <row r="425">
      <c r="A425" s="167" t="s">
        <v>67</v>
      </c>
      <c r="B425" s="168" t="s">
        <v>108</v>
      </c>
      <c r="C425" s="182">
        <v>44502.0</v>
      </c>
      <c r="D425" s="183" t="s">
        <v>209</v>
      </c>
      <c r="E425" s="184">
        <v>32.27</v>
      </c>
      <c r="F425" s="171" t="s">
        <v>41</v>
      </c>
      <c r="G425" s="163" t="s">
        <v>42</v>
      </c>
    </row>
    <row r="426">
      <c r="A426" s="167" t="s">
        <v>67</v>
      </c>
      <c r="B426" s="168" t="s">
        <v>87</v>
      </c>
      <c r="C426" s="182">
        <v>44504.0</v>
      </c>
      <c r="D426" s="183" t="s">
        <v>87</v>
      </c>
      <c r="E426" s="184">
        <v>130.0</v>
      </c>
      <c r="F426" s="171" t="s">
        <v>14</v>
      </c>
      <c r="G426" s="163" t="s">
        <v>16</v>
      </c>
    </row>
    <row r="427">
      <c r="A427" s="167" t="s">
        <v>67</v>
      </c>
      <c r="B427" s="168" t="s">
        <v>100</v>
      </c>
      <c r="C427" s="182">
        <v>44506.0</v>
      </c>
      <c r="D427" s="183" t="s">
        <v>210</v>
      </c>
      <c r="E427" s="184">
        <v>70.0</v>
      </c>
      <c r="F427" s="171" t="s">
        <v>14</v>
      </c>
      <c r="G427" s="163" t="s">
        <v>16</v>
      </c>
    </row>
    <row r="428">
      <c r="A428" s="167" t="s">
        <v>67</v>
      </c>
      <c r="B428" s="168" t="s">
        <v>87</v>
      </c>
      <c r="C428" s="182">
        <v>44519.0</v>
      </c>
      <c r="D428" s="183" t="s">
        <v>87</v>
      </c>
      <c r="E428" s="184">
        <v>140.0</v>
      </c>
      <c r="F428" s="171" t="s">
        <v>14</v>
      </c>
      <c r="G428" s="163" t="s">
        <v>16</v>
      </c>
    </row>
    <row r="429">
      <c r="A429" s="167" t="s">
        <v>67</v>
      </c>
      <c r="B429" s="168" t="s">
        <v>100</v>
      </c>
      <c r="C429" s="182">
        <v>44519.0</v>
      </c>
      <c r="D429" s="183" t="s">
        <v>211</v>
      </c>
      <c r="E429" s="184">
        <v>140.0</v>
      </c>
      <c r="F429" s="171" t="s">
        <v>14</v>
      </c>
      <c r="G429" s="163" t="s">
        <v>16</v>
      </c>
    </row>
    <row r="430">
      <c r="A430" s="167" t="s">
        <v>67</v>
      </c>
      <c r="B430" s="168" t="s">
        <v>100</v>
      </c>
      <c r="C430" s="182">
        <v>44519.0</v>
      </c>
      <c r="D430" s="183" t="s">
        <v>212</v>
      </c>
      <c r="E430" s="184">
        <v>80.0</v>
      </c>
      <c r="F430" s="171" t="s">
        <v>14</v>
      </c>
      <c r="G430" s="163" t="s">
        <v>16</v>
      </c>
    </row>
    <row r="431">
      <c r="A431" s="167" t="s">
        <v>67</v>
      </c>
      <c r="B431" s="168" t="s">
        <v>104</v>
      </c>
      <c r="C431" s="182">
        <v>44522.0</v>
      </c>
      <c r="D431" s="183" t="s">
        <v>188</v>
      </c>
      <c r="E431" s="184">
        <v>126.0</v>
      </c>
      <c r="F431" s="171" t="s">
        <v>14</v>
      </c>
      <c r="G431" s="163" t="s">
        <v>16</v>
      </c>
    </row>
    <row r="432">
      <c r="A432" s="167" t="s">
        <v>67</v>
      </c>
      <c r="B432" s="168" t="s">
        <v>108</v>
      </c>
      <c r="C432" s="182">
        <v>44525.0</v>
      </c>
      <c r="D432" s="183" t="s">
        <v>213</v>
      </c>
      <c r="E432" s="184">
        <v>1.61</v>
      </c>
      <c r="F432" s="171" t="s">
        <v>41</v>
      </c>
      <c r="G432" s="163" t="s">
        <v>42</v>
      </c>
    </row>
    <row r="433">
      <c r="A433" s="167" t="s">
        <v>67</v>
      </c>
      <c r="B433" s="168" t="s">
        <v>87</v>
      </c>
      <c r="C433" s="182">
        <v>44526.0</v>
      </c>
      <c r="D433" s="183" t="s">
        <v>87</v>
      </c>
      <c r="E433" s="184">
        <v>130.0</v>
      </c>
      <c r="F433" s="171" t="s">
        <v>14</v>
      </c>
      <c r="G433" s="163" t="s">
        <v>16</v>
      </c>
    </row>
    <row r="434">
      <c r="A434" s="167" t="s">
        <v>67</v>
      </c>
      <c r="B434" s="168" t="s">
        <v>108</v>
      </c>
      <c r="C434" s="182">
        <v>44530.0</v>
      </c>
      <c r="D434" s="183" t="s">
        <v>190</v>
      </c>
      <c r="E434" s="184">
        <v>1.02</v>
      </c>
      <c r="F434" s="171" t="s">
        <v>14</v>
      </c>
      <c r="G434" s="163" t="s">
        <v>16</v>
      </c>
    </row>
    <row r="435">
      <c r="A435" s="167" t="s">
        <v>67</v>
      </c>
      <c r="B435" s="168"/>
      <c r="C435" s="182"/>
      <c r="D435" s="183"/>
      <c r="E435" s="184"/>
      <c r="F435" s="171"/>
      <c r="G435" s="163"/>
    </row>
    <row r="436">
      <c r="A436" s="167" t="s">
        <v>67</v>
      </c>
      <c r="B436" s="168"/>
      <c r="C436" s="182"/>
      <c r="D436" s="183"/>
      <c r="E436" s="184"/>
      <c r="F436" s="171"/>
      <c r="G436" s="163"/>
    </row>
    <row r="437">
      <c r="A437" s="167" t="s">
        <v>67</v>
      </c>
      <c r="B437" s="168"/>
      <c r="C437" s="182"/>
      <c r="D437" s="183"/>
      <c r="E437" s="184"/>
      <c r="F437" s="171"/>
      <c r="G437" s="163"/>
    </row>
    <row r="438">
      <c r="A438" s="167" t="s">
        <v>67</v>
      </c>
      <c r="B438" s="168"/>
      <c r="C438" s="182"/>
      <c r="D438" s="183"/>
      <c r="E438" s="184"/>
      <c r="F438" s="171"/>
      <c r="G438" s="163"/>
    </row>
    <row r="439">
      <c r="A439" s="167" t="s">
        <v>67</v>
      </c>
      <c r="B439" s="168"/>
      <c r="C439" s="182"/>
      <c r="D439" s="183"/>
      <c r="E439" s="184"/>
      <c r="F439" s="171"/>
      <c r="G439" s="163"/>
    </row>
    <row r="440">
      <c r="A440" s="167" t="s">
        <v>67</v>
      </c>
      <c r="B440" s="168"/>
      <c r="C440" s="183"/>
      <c r="D440" s="183"/>
      <c r="E440" s="184"/>
      <c r="F440" s="171"/>
      <c r="G440" s="178"/>
    </row>
    <row r="441">
      <c r="A441" s="167" t="s">
        <v>67</v>
      </c>
      <c r="B441" s="168"/>
      <c r="C441" s="182"/>
      <c r="D441" s="183"/>
      <c r="E441" s="184"/>
      <c r="F441" s="171"/>
      <c r="G441" s="178"/>
    </row>
    <row r="442">
      <c r="A442" s="167" t="s">
        <v>67</v>
      </c>
      <c r="B442" s="168"/>
      <c r="C442" s="182"/>
      <c r="D442" s="183"/>
      <c r="E442" s="184"/>
      <c r="F442" s="171"/>
      <c r="G442" s="178"/>
    </row>
    <row r="443">
      <c r="A443" s="167" t="s">
        <v>67</v>
      </c>
      <c r="B443" s="168"/>
      <c r="C443" s="182"/>
      <c r="D443" s="183"/>
      <c r="E443" s="184"/>
      <c r="F443" s="171"/>
      <c r="G443" s="178"/>
    </row>
    <row r="444">
      <c r="A444" s="167" t="s">
        <v>67</v>
      </c>
      <c r="B444" s="168"/>
      <c r="C444" s="182"/>
      <c r="D444" s="183"/>
      <c r="E444" s="184"/>
      <c r="F444" s="171"/>
      <c r="G444" s="178"/>
    </row>
    <row r="445">
      <c r="A445" s="167" t="s">
        <v>67</v>
      </c>
      <c r="B445" s="168"/>
      <c r="C445" s="182"/>
      <c r="D445" s="183"/>
      <c r="E445" s="184"/>
      <c r="F445" s="171"/>
      <c r="G445" s="178"/>
    </row>
    <row r="446">
      <c r="A446" s="167" t="s">
        <v>67</v>
      </c>
      <c r="B446" s="168"/>
      <c r="C446" s="182"/>
      <c r="D446" s="183"/>
      <c r="E446" s="184"/>
      <c r="F446" s="171"/>
      <c r="G446" s="178"/>
    </row>
    <row r="447">
      <c r="A447" s="167" t="s">
        <v>67</v>
      </c>
      <c r="B447" s="168"/>
      <c r="C447" s="182"/>
      <c r="D447" s="183"/>
      <c r="E447" s="184"/>
      <c r="F447" s="171"/>
      <c r="G447" s="163"/>
    </row>
    <row r="448">
      <c r="A448" s="167" t="s">
        <v>67</v>
      </c>
      <c r="B448" s="168"/>
      <c r="C448" s="182"/>
      <c r="D448" s="183"/>
      <c r="E448" s="184"/>
      <c r="F448" s="171"/>
      <c r="G448" s="163"/>
    </row>
    <row r="449">
      <c r="A449" s="167" t="s">
        <v>67</v>
      </c>
      <c r="B449" s="168"/>
      <c r="C449" s="182"/>
      <c r="D449" s="183"/>
      <c r="E449" s="184"/>
      <c r="F449" s="171"/>
      <c r="G449" s="163"/>
    </row>
    <row r="450">
      <c r="A450" s="167" t="s">
        <v>67</v>
      </c>
      <c r="B450" s="168"/>
      <c r="C450" s="182"/>
      <c r="D450" s="183"/>
      <c r="E450" s="184"/>
      <c r="F450" s="171"/>
      <c r="G450" s="163"/>
    </row>
    <row r="451">
      <c r="A451" s="167" t="s">
        <v>67</v>
      </c>
      <c r="B451" s="168"/>
      <c r="C451" s="182"/>
      <c r="D451" s="183"/>
      <c r="E451" s="184"/>
      <c r="F451" s="171"/>
      <c r="G451" s="163"/>
    </row>
    <row r="452">
      <c r="A452" s="167" t="s">
        <v>67</v>
      </c>
      <c r="B452" s="168"/>
      <c r="C452" s="182"/>
      <c r="D452" s="183"/>
      <c r="E452" s="184"/>
      <c r="F452" s="171"/>
      <c r="G452" s="163"/>
    </row>
    <row r="453">
      <c r="A453" s="167" t="s">
        <v>67</v>
      </c>
      <c r="B453" s="168"/>
      <c r="C453" s="182"/>
      <c r="D453" s="183"/>
      <c r="E453" s="184"/>
      <c r="F453" s="171"/>
      <c r="G453" s="163"/>
    </row>
    <row r="454">
      <c r="A454" s="167" t="s">
        <v>67</v>
      </c>
      <c r="B454" s="168"/>
      <c r="C454" s="182"/>
      <c r="D454" s="183"/>
      <c r="E454" s="184"/>
      <c r="F454" s="171"/>
      <c r="G454" s="163"/>
    </row>
    <row r="455">
      <c r="A455" s="167" t="s">
        <v>67</v>
      </c>
      <c r="B455" s="168"/>
      <c r="C455" s="182"/>
      <c r="D455" s="183"/>
      <c r="E455" s="184"/>
      <c r="F455" s="171"/>
      <c r="G455" s="163"/>
    </row>
    <row r="456">
      <c r="A456" s="167" t="s">
        <v>67</v>
      </c>
      <c r="B456" s="168"/>
      <c r="C456" s="182"/>
      <c r="D456" s="183"/>
      <c r="E456" s="184"/>
      <c r="F456" s="171"/>
      <c r="G456" s="163"/>
    </row>
    <row r="457">
      <c r="A457" s="167" t="s">
        <v>67</v>
      </c>
      <c r="B457" s="168"/>
      <c r="C457" s="182"/>
      <c r="D457" s="183"/>
      <c r="E457" s="184"/>
      <c r="F457" s="171"/>
      <c r="G457" s="163"/>
    </row>
    <row r="458">
      <c r="A458" s="167" t="s">
        <v>67</v>
      </c>
      <c r="B458" s="168"/>
      <c r="C458" s="182"/>
      <c r="D458" s="183"/>
      <c r="E458" s="184"/>
      <c r="F458" s="171"/>
      <c r="G458" s="163"/>
    </row>
    <row r="459">
      <c r="A459" s="167" t="s">
        <v>67</v>
      </c>
      <c r="B459" s="168"/>
      <c r="C459" s="182"/>
      <c r="D459" s="183"/>
      <c r="E459" s="184"/>
      <c r="F459" s="171"/>
      <c r="G459" s="163"/>
    </row>
    <row r="460">
      <c r="A460" s="167" t="s">
        <v>67</v>
      </c>
      <c r="B460" s="168"/>
      <c r="C460" s="182"/>
      <c r="D460" s="183"/>
      <c r="E460" s="184"/>
      <c r="F460" s="171"/>
      <c r="G460" s="163"/>
    </row>
    <row r="461">
      <c r="A461" s="167" t="s">
        <v>67</v>
      </c>
      <c r="B461" s="168"/>
      <c r="C461" s="182"/>
      <c r="D461" s="183"/>
      <c r="E461" s="184"/>
      <c r="F461" s="171"/>
      <c r="G461" s="163"/>
    </row>
    <row r="462">
      <c r="A462" s="167" t="s">
        <v>67</v>
      </c>
      <c r="B462" s="168"/>
      <c r="C462" s="182"/>
      <c r="D462" s="183"/>
      <c r="E462" s="184"/>
      <c r="F462" s="171"/>
      <c r="G462" s="163"/>
    </row>
    <row r="463">
      <c r="A463" s="187" t="s">
        <v>67</v>
      </c>
      <c r="B463" s="196"/>
      <c r="C463" s="197"/>
      <c r="D463" s="198"/>
      <c r="E463" s="199"/>
      <c r="F463" s="200"/>
      <c r="G463" s="188"/>
    </row>
    <row r="464">
      <c r="E464" s="209"/>
    </row>
    <row r="465">
      <c r="A465" s="157" t="s">
        <v>68</v>
      </c>
      <c r="B465" s="158" t="s">
        <v>87</v>
      </c>
      <c r="C465" s="191">
        <v>44532.0</v>
      </c>
      <c r="D465" s="192" t="s">
        <v>87</v>
      </c>
      <c r="E465" s="193">
        <v>130.0</v>
      </c>
      <c r="F465" s="162" t="s">
        <v>14</v>
      </c>
      <c r="G465" s="194" t="s">
        <v>16</v>
      </c>
    </row>
    <row r="466">
      <c r="A466" s="167" t="s">
        <v>68</v>
      </c>
      <c r="B466" s="168" t="s">
        <v>104</v>
      </c>
      <c r="C466" s="182">
        <v>44532.0</v>
      </c>
      <c r="D466" s="183" t="s">
        <v>214</v>
      </c>
      <c r="E466" s="184">
        <v>357.0</v>
      </c>
      <c r="F466" s="171" t="s">
        <v>14</v>
      </c>
      <c r="G466" s="163" t="s">
        <v>16</v>
      </c>
    </row>
    <row r="467">
      <c r="A467" s="167" t="s">
        <v>68</v>
      </c>
      <c r="B467" s="168" t="s">
        <v>104</v>
      </c>
      <c r="C467" s="182">
        <v>44537.0</v>
      </c>
      <c r="D467" s="183" t="s">
        <v>208</v>
      </c>
      <c r="E467" s="184">
        <v>100.0</v>
      </c>
      <c r="F467" s="171" t="s">
        <v>14</v>
      </c>
      <c r="G467" s="163" t="s">
        <v>16</v>
      </c>
    </row>
    <row r="468">
      <c r="A468" s="167" t="s">
        <v>68</v>
      </c>
      <c r="B468" s="168" t="s">
        <v>87</v>
      </c>
      <c r="C468" s="182">
        <v>44540.0</v>
      </c>
      <c r="D468" s="183" t="s">
        <v>87</v>
      </c>
      <c r="E468" s="184">
        <v>130.0</v>
      </c>
      <c r="F468" s="171" t="s">
        <v>14</v>
      </c>
      <c r="G468" s="163" t="s">
        <v>16</v>
      </c>
    </row>
    <row r="469">
      <c r="A469" s="167" t="s">
        <v>68</v>
      </c>
      <c r="B469" s="168" t="s">
        <v>87</v>
      </c>
      <c r="C469" s="182">
        <v>44548.0</v>
      </c>
      <c r="D469" s="183" t="s">
        <v>87</v>
      </c>
      <c r="E469" s="184">
        <v>130.0</v>
      </c>
      <c r="F469" s="171" t="s">
        <v>14</v>
      </c>
      <c r="G469" s="163" t="s">
        <v>16</v>
      </c>
    </row>
    <row r="470">
      <c r="A470" s="167" t="s">
        <v>68</v>
      </c>
      <c r="B470" s="168" t="s">
        <v>104</v>
      </c>
      <c r="C470" s="182">
        <v>44548.0</v>
      </c>
      <c r="D470" s="183" t="s">
        <v>215</v>
      </c>
      <c r="E470" s="184">
        <v>30.0</v>
      </c>
      <c r="F470" s="171" t="s">
        <v>14</v>
      </c>
      <c r="G470" s="163" t="s">
        <v>16</v>
      </c>
    </row>
    <row r="471">
      <c r="A471" s="167" t="s">
        <v>68</v>
      </c>
      <c r="B471" s="168" t="s">
        <v>104</v>
      </c>
      <c r="C471" s="182">
        <v>44548.0</v>
      </c>
      <c r="D471" s="183" t="s">
        <v>133</v>
      </c>
      <c r="E471" s="184">
        <v>100.0</v>
      </c>
      <c r="F471" s="171" t="s">
        <v>24</v>
      </c>
      <c r="G471" s="163" t="s">
        <v>26</v>
      </c>
    </row>
    <row r="472">
      <c r="A472" s="167" t="s">
        <v>68</v>
      </c>
      <c r="B472" s="168" t="s">
        <v>104</v>
      </c>
      <c r="C472" s="182">
        <v>44550.0</v>
      </c>
      <c r="D472" s="183" t="s">
        <v>216</v>
      </c>
      <c r="E472" s="184">
        <v>100.0</v>
      </c>
      <c r="F472" s="171" t="s">
        <v>14</v>
      </c>
      <c r="G472" s="163" t="s">
        <v>16</v>
      </c>
    </row>
    <row r="473">
      <c r="A473" s="167" t="s">
        <v>68</v>
      </c>
      <c r="B473" s="168" t="s">
        <v>100</v>
      </c>
      <c r="C473" s="182">
        <v>44556.0</v>
      </c>
      <c r="D473" s="183" t="s">
        <v>217</v>
      </c>
      <c r="E473" s="184">
        <v>80.0</v>
      </c>
      <c r="F473" s="171" t="s">
        <v>14</v>
      </c>
      <c r="G473" s="163" t="s">
        <v>16</v>
      </c>
    </row>
    <row r="474">
      <c r="A474" s="167" t="s">
        <v>68</v>
      </c>
      <c r="B474" s="168" t="s">
        <v>87</v>
      </c>
      <c r="C474" s="182">
        <v>44556.0</v>
      </c>
      <c r="D474" s="183" t="s">
        <v>87</v>
      </c>
      <c r="E474" s="184">
        <v>130.0</v>
      </c>
      <c r="F474" s="171" t="s">
        <v>14</v>
      </c>
      <c r="G474" s="163" t="s">
        <v>16</v>
      </c>
    </row>
    <row r="475">
      <c r="A475" s="167" t="s">
        <v>68</v>
      </c>
      <c r="B475" s="168" t="s">
        <v>104</v>
      </c>
      <c r="C475" s="182">
        <v>44561.0</v>
      </c>
      <c r="D475" s="183" t="s">
        <v>208</v>
      </c>
      <c r="E475" s="184">
        <v>100.0</v>
      </c>
      <c r="F475" s="171" t="s">
        <v>24</v>
      </c>
      <c r="G475" s="163" t="s">
        <v>26</v>
      </c>
    </row>
    <row r="476">
      <c r="A476" s="167" t="s">
        <v>68</v>
      </c>
      <c r="B476" s="168" t="s">
        <v>108</v>
      </c>
      <c r="C476" s="182">
        <v>44561.0</v>
      </c>
      <c r="D476" s="183" t="s">
        <v>218</v>
      </c>
      <c r="E476" s="184">
        <v>0.53</v>
      </c>
      <c r="F476" s="171" t="s">
        <v>14</v>
      </c>
      <c r="G476" s="163" t="s">
        <v>16</v>
      </c>
    </row>
    <row r="477">
      <c r="A477" s="167" t="s">
        <v>68</v>
      </c>
      <c r="B477" s="168" t="s">
        <v>108</v>
      </c>
      <c r="C477" s="182">
        <v>44561.0</v>
      </c>
      <c r="D477" s="183" t="s">
        <v>219</v>
      </c>
      <c r="E477" s="184">
        <v>0.33</v>
      </c>
      <c r="F477" s="171" t="s">
        <v>14</v>
      </c>
      <c r="G477" s="163" t="s">
        <v>19</v>
      </c>
    </row>
    <row r="478">
      <c r="A478" s="167" t="s">
        <v>68</v>
      </c>
      <c r="B478" s="168" t="s">
        <v>93</v>
      </c>
      <c r="C478" s="182">
        <v>44561.0</v>
      </c>
      <c r="D478" s="183" t="s">
        <v>220</v>
      </c>
      <c r="E478" s="184">
        <v>4000.0</v>
      </c>
      <c r="F478" s="171" t="s">
        <v>30</v>
      </c>
      <c r="G478" s="163" t="s">
        <v>31</v>
      </c>
    </row>
    <row r="479">
      <c r="A479" s="167" t="s">
        <v>68</v>
      </c>
      <c r="B479" s="168"/>
      <c r="C479" s="182"/>
      <c r="D479" s="183"/>
      <c r="E479" s="184"/>
      <c r="F479" s="171"/>
      <c r="G479" s="163"/>
    </row>
    <row r="480">
      <c r="A480" s="167" t="s">
        <v>68</v>
      </c>
      <c r="B480" s="168"/>
      <c r="C480" s="182"/>
      <c r="D480" s="183"/>
      <c r="E480" s="184"/>
      <c r="F480" s="171"/>
      <c r="G480" s="163"/>
    </row>
    <row r="481">
      <c r="A481" s="167" t="s">
        <v>68</v>
      </c>
      <c r="B481" s="168"/>
      <c r="C481" s="182"/>
      <c r="D481" s="183"/>
      <c r="E481" s="184"/>
      <c r="F481" s="171"/>
      <c r="G481" s="163"/>
    </row>
    <row r="482">
      <c r="A482" s="167" t="s">
        <v>68</v>
      </c>
      <c r="B482" s="168"/>
      <c r="C482" s="182"/>
      <c r="D482" s="183"/>
      <c r="E482" s="184"/>
      <c r="F482" s="171"/>
      <c r="G482" s="163"/>
    </row>
    <row r="483">
      <c r="A483" s="167" t="s">
        <v>68</v>
      </c>
      <c r="B483" s="168"/>
      <c r="C483" s="182"/>
      <c r="D483" s="183"/>
      <c r="E483" s="184"/>
      <c r="F483" s="171"/>
      <c r="G483" s="163"/>
    </row>
    <row r="484">
      <c r="A484" s="167" t="s">
        <v>68</v>
      </c>
      <c r="B484" s="168"/>
      <c r="C484" s="182"/>
      <c r="D484" s="183"/>
      <c r="E484" s="184"/>
      <c r="F484" s="171"/>
      <c r="G484" s="163"/>
    </row>
    <row r="485">
      <c r="A485" s="167" t="s">
        <v>68</v>
      </c>
      <c r="B485" s="168"/>
      <c r="C485" s="182"/>
      <c r="D485" s="183"/>
      <c r="E485" s="184"/>
      <c r="F485" s="171"/>
      <c r="G485" s="163"/>
    </row>
    <row r="486">
      <c r="A486" s="167" t="s">
        <v>68</v>
      </c>
      <c r="B486" s="168"/>
      <c r="C486" s="182"/>
      <c r="D486" s="183"/>
      <c r="E486" s="184"/>
      <c r="F486" s="171"/>
      <c r="G486" s="178"/>
    </row>
    <row r="487">
      <c r="A487" s="167" t="s">
        <v>68</v>
      </c>
      <c r="B487" s="168"/>
      <c r="C487" s="182"/>
      <c r="D487" s="183"/>
      <c r="E487" s="184"/>
      <c r="F487" s="171"/>
      <c r="G487" s="178"/>
    </row>
    <row r="488">
      <c r="A488" s="167" t="s">
        <v>68</v>
      </c>
      <c r="B488" s="168"/>
      <c r="C488" s="182"/>
      <c r="D488" s="183"/>
      <c r="E488" s="184"/>
      <c r="F488" s="171"/>
      <c r="G488" s="178"/>
    </row>
    <row r="489">
      <c r="A489" s="167" t="s">
        <v>68</v>
      </c>
      <c r="B489" s="168"/>
      <c r="C489" s="182"/>
      <c r="D489" s="183"/>
      <c r="E489" s="184"/>
      <c r="F489" s="171"/>
      <c r="G489" s="163"/>
    </row>
    <row r="490">
      <c r="A490" s="167" t="s">
        <v>68</v>
      </c>
      <c r="B490" s="168"/>
      <c r="C490" s="182"/>
      <c r="D490" s="183"/>
      <c r="E490" s="184"/>
      <c r="F490" s="171"/>
      <c r="G490" s="163"/>
    </row>
    <row r="491">
      <c r="A491" s="167" t="s">
        <v>68</v>
      </c>
      <c r="B491" s="168"/>
      <c r="C491" s="182"/>
      <c r="D491" s="183"/>
      <c r="E491" s="184"/>
      <c r="F491" s="171"/>
      <c r="G491" s="163"/>
    </row>
    <row r="492">
      <c r="A492" s="167" t="s">
        <v>68</v>
      </c>
      <c r="B492" s="168"/>
      <c r="C492" s="182"/>
      <c r="D492" s="183"/>
      <c r="E492" s="184"/>
      <c r="F492" s="171"/>
      <c r="G492" s="163"/>
    </row>
    <row r="493">
      <c r="A493" s="167" t="s">
        <v>68</v>
      </c>
      <c r="B493" s="168"/>
      <c r="C493" s="182"/>
      <c r="D493" s="183"/>
      <c r="E493" s="184"/>
      <c r="F493" s="171"/>
      <c r="G493" s="163"/>
    </row>
    <row r="494">
      <c r="A494" s="167" t="s">
        <v>68</v>
      </c>
      <c r="B494" s="168"/>
      <c r="C494" s="182"/>
      <c r="D494" s="183"/>
      <c r="E494" s="184"/>
      <c r="F494" s="171"/>
      <c r="G494" s="163"/>
    </row>
    <row r="495">
      <c r="A495" s="167" t="s">
        <v>68</v>
      </c>
      <c r="B495" s="168"/>
      <c r="C495" s="182"/>
      <c r="D495" s="183"/>
      <c r="E495" s="184"/>
      <c r="F495" s="171"/>
      <c r="G495" s="163"/>
    </row>
    <row r="496">
      <c r="A496" s="167" t="s">
        <v>68</v>
      </c>
      <c r="B496" s="168"/>
      <c r="C496" s="182"/>
      <c r="D496" s="183"/>
      <c r="E496" s="184"/>
      <c r="F496" s="171"/>
      <c r="G496" s="163"/>
    </row>
    <row r="497">
      <c r="A497" s="167" t="s">
        <v>68</v>
      </c>
      <c r="B497" s="168"/>
      <c r="C497" s="182"/>
      <c r="D497" s="183"/>
      <c r="E497" s="184"/>
      <c r="F497" s="171"/>
      <c r="G497" s="163"/>
    </row>
    <row r="498">
      <c r="A498" s="167" t="s">
        <v>68</v>
      </c>
      <c r="B498" s="168"/>
      <c r="C498" s="182"/>
      <c r="D498" s="183"/>
      <c r="E498" s="184"/>
      <c r="F498" s="171"/>
      <c r="G498" s="163"/>
    </row>
    <row r="499">
      <c r="A499" s="167" t="s">
        <v>68</v>
      </c>
      <c r="B499" s="168"/>
      <c r="C499" s="182"/>
      <c r="D499" s="183"/>
      <c r="E499" s="184"/>
      <c r="F499" s="171"/>
      <c r="G499" s="163"/>
    </row>
    <row r="500">
      <c r="A500" s="167" t="s">
        <v>68</v>
      </c>
      <c r="B500" s="168"/>
      <c r="C500" s="182"/>
      <c r="D500" s="183"/>
      <c r="E500" s="184"/>
      <c r="F500" s="171"/>
      <c r="G500" s="163"/>
    </row>
    <row r="501">
      <c r="A501" s="167" t="s">
        <v>68</v>
      </c>
      <c r="B501" s="168"/>
      <c r="C501" s="182"/>
      <c r="D501" s="183"/>
      <c r="E501" s="184"/>
      <c r="F501" s="171"/>
      <c r="G501" s="163"/>
    </row>
    <row r="502">
      <c r="A502" s="167" t="s">
        <v>68</v>
      </c>
      <c r="B502" s="168"/>
      <c r="C502" s="182"/>
      <c r="D502" s="183"/>
      <c r="E502" s="184"/>
      <c r="F502" s="171"/>
      <c r="G502" s="163"/>
    </row>
    <row r="503">
      <c r="A503" s="167" t="s">
        <v>68</v>
      </c>
      <c r="B503" s="168"/>
      <c r="C503" s="182"/>
      <c r="D503" s="183"/>
      <c r="E503" s="184"/>
      <c r="F503" s="171"/>
      <c r="G503" s="163"/>
    </row>
    <row r="504">
      <c r="A504" s="167" t="s">
        <v>68</v>
      </c>
      <c r="B504" s="168"/>
      <c r="C504" s="182"/>
      <c r="D504" s="183"/>
      <c r="E504" s="184"/>
      <c r="F504" s="171"/>
      <c r="G504" s="163"/>
    </row>
    <row r="505">
      <c r="A505" s="187" t="s">
        <v>68</v>
      </c>
      <c r="B505" s="196"/>
      <c r="C505" s="197"/>
      <c r="D505" s="198"/>
      <c r="E505" s="199"/>
      <c r="F505" s="200"/>
      <c r="G505" s="188"/>
    </row>
  </sheetData>
  <mergeCells count="1">
    <mergeCell ref="A1:G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B3:B43 B45:B85 B87:B127 B129:B169 B171:B211 B213:B253 B255:B295 B297:B337 B339:B379 B423:B463 B465:B505">
      <formula1>Tabelas!$E$13:$E$29</formula1>
    </dataValidation>
    <dataValidation type="list" allowBlank="1" sqref="B381:B421">
      <formula1>Tabelas!$E$13:$E$52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2.63"/>
    <col customWidth="1" min="3" max="3" width="9.38"/>
    <col customWidth="1" min="4" max="4" width="26.63"/>
    <col customWidth="1" min="5" max="5" width="9.25"/>
    <col customWidth="1" min="6" max="6" width="15.5"/>
    <col customWidth="1" min="7" max="7" width="6.25"/>
    <col customWidth="1" min="8" max="8" width="10.0"/>
    <col customWidth="1" min="9" max="9" width="3.25"/>
    <col customWidth="1" min="10" max="10" width="8.63"/>
    <col customWidth="1" min="11" max="11" width="3.75"/>
    <col customWidth="1" min="12" max="12" width="13.38"/>
    <col customWidth="1" min="13" max="13" width="9.38"/>
    <col customWidth="1" min="14" max="14" width="14.25"/>
    <col customWidth="1" min="15" max="15" width="10.13"/>
    <col customWidth="1" min="16" max="16" width="7.88"/>
    <col customWidth="1" min="17" max="17" width="8.88"/>
    <col customWidth="1" min="18" max="18" width="10.75"/>
  </cols>
  <sheetData>
    <row r="1">
      <c r="A1" s="213" t="s">
        <v>126</v>
      </c>
      <c r="B1" s="12"/>
      <c r="C1" s="12"/>
      <c r="D1" s="12"/>
      <c r="E1" s="12"/>
      <c r="F1" s="12"/>
      <c r="G1" s="12"/>
      <c r="H1" s="214"/>
      <c r="I1" s="214"/>
      <c r="J1" s="215" t="s">
        <v>12</v>
      </c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</row>
    <row r="2">
      <c r="A2" s="216" t="s">
        <v>127</v>
      </c>
      <c r="B2" s="216" t="s">
        <v>128</v>
      </c>
      <c r="C2" s="216" t="s">
        <v>129</v>
      </c>
      <c r="D2" s="216" t="s">
        <v>130</v>
      </c>
      <c r="E2" s="216" t="s">
        <v>131</v>
      </c>
      <c r="F2" s="216" t="s">
        <v>221</v>
      </c>
      <c r="G2" s="216" t="s">
        <v>11</v>
      </c>
      <c r="H2" s="216" t="s">
        <v>222</v>
      </c>
      <c r="I2" s="214"/>
      <c r="J2" s="217" t="s">
        <v>127</v>
      </c>
      <c r="K2" s="218" t="s">
        <v>223</v>
      </c>
      <c r="L2" s="217" t="s">
        <v>128</v>
      </c>
      <c r="M2" s="217" t="s">
        <v>129</v>
      </c>
      <c r="N2" s="217" t="s">
        <v>130</v>
      </c>
      <c r="O2" s="219" t="s">
        <v>224</v>
      </c>
      <c r="P2" s="218" t="s">
        <v>225</v>
      </c>
      <c r="Q2" s="219" t="s">
        <v>226</v>
      </c>
      <c r="R2" s="220" t="s">
        <v>227</v>
      </c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</row>
    <row r="3">
      <c r="A3" s="221" t="s">
        <v>57</v>
      </c>
      <c r="B3" s="222" t="s">
        <v>102</v>
      </c>
      <c r="C3" s="223">
        <v>44199.0</v>
      </c>
      <c r="D3" s="224" t="s">
        <v>133</v>
      </c>
      <c r="E3" s="225">
        <v>70.0</v>
      </c>
      <c r="F3" s="226" t="s">
        <v>24</v>
      </c>
      <c r="G3" s="227" t="s">
        <v>26</v>
      </c>
      <c r="H3" s="228"/>
      <c r="I3" s="229"/>
      <c r="J3" s="230" t="s">
        <v>57</v>
      </c>
      <c r="K3" s="231">
        <v>1.0</v>
      </c>
      <c r="L3" s="227" t="s">
        <v>110</v>
      </c>
      <c r="M3" s="232">
        <v>44197.0</v>
      </c>
      <c r="N3" s="233" t="s">
        <v>228</v>
      </c>
      <c r="O3" s="234">
        <v>651.68</v>
      </c>
      <c r="P3" s="235">
        <v>8.0</v>
      </c>
      <c r="Q3" s="236">
        <f t="shared" ref="Q3:Q43" si="1">iferror($O3/$P3,"")</f>
        <v>81.46</v>
      </c>
      <c r="R3" s="237" t="s">
        <v>14</v>
      </c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>
      <c r="A4" s="238" t="s">
        <v>57</v>
      </c>
      <c r="B4" s="239" t="s">
        <v>85</v>
      </c>
      <c r="C4" s="240">
        <v>44200.0</v>
      </c>
      <c r="D4" s="241" t="s">
        <v>229</v>
      </c>
      <c r="E4" s="225">
        <v>50.0</v>
      </c>
      <c r="F4" s="227" t="s">
        <v>24</v>
      </c>
      <c r="G4" s="227" t="s">
        <v>26</v>
      </c>
      <c r="H4" s="242"/>
      <c r="I4" s="243"/>
      <c r="J4" s="244" t="s">
        <v>57</v>
      </c>
      <c r="K4" s="245">
        <f t="shared" ref="K4:K43" si="2">K3+1</f>
        <v>2</v>
      </c>
      <c r="L4" s="246" t="s">
        <v>110</v>
      </c>
      <c r="M4" s="247">
        <v>44197.0</v>
      </c>
      <c r="N4" s="248" t="s">
        <v>230</v>
      </c>
      <c r="O4" s="249">
        <v>1424.97</v>
      </c>
      <c r="P4" s="250">
        <v>9.0</v>
      </c>
      <c r="Q4" s="236">
        <f t="shared" si="1"/>
        <v>158.33</v>
      </c>
      <c r="R4" s="237" t="s">
        <v>14</v>
      </c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</row>
    <row r="5">
      <c r="A5" s="238" t="s">
        <v>57</v>
      </c>
      <c r="B5" s="239" t="s">
        <v>116</v>
      </c>
      <c r="C5" s="240">
        <v>44200.0</v>
      </c>
      <c r="D5" s="241" t="s">
        <v>231</v>
      </c>
      <c r="E5" s="225">
        <v>239.78</v>
      </c>
      <c r="F5" s="227" t="s">
        <v>14</v>
      </c>
      <c r="G5" s="227" t="s">
        <v>16</v>
      </c>
      <c r="H5" s="251" t="s">
        <v>17</v>
      </c>
      <c r="I5" s="214"/>
      <c r="J5" s="244" t="s">
        <v>57</v>
      </c>
      <c r="K5" s="245">
        <f t="shared" si="2"/>
        <v>3</v>
      </c>
      <c r="L5" s="246" t="s">
        <v>118</v>
      </c>
      <c r="M5" s="247">
        <v>44247.0</v>
      </c>
      <c r="N5" s="248" t="s">
        <v>232</v>
      </c>
      <c r="O5" s="252">
        <v>1098.9</v>
      </c>
      <c r="P5" s="250">
        <v>11.0</v>
      </c>
      <c r="Q5" s="236">
        <f t="shared" si="1"/>
        <v>99.9</v>
      </c>
      <c r="R5" s="237" t="s">
        <v>14</v>
      </c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</row>
    <row r="6">
      <c r="A6" s="238" t="s">
        <v>57</v>
      </c>
      <c r="B6" s="239" t="s">
        <v>91</v>
      </c>
      <c r="C6" s="240">
        <v>44202.0</v>
      </c>
      <c r="D6" s="241" t="s">
        <v>135</v>
      </c>
      <c r="E6" s="225">
        <v>75.9</v>
      </c>
      <c r="F6" s="227" t="s">
        <v>14</v>
      </c>
      <c r="G6" s="227" t="s">
        <v>16</v>
      </c>
      <c r="H6" s="242"/>
      <c r="I6" s="214"/>
      <c r="J6" s="244" t="s">
        <v>57</v>
      </c>
      <c r="K6" s="245">
        <f t="shared" si="2"/>
        <v>4</v>
      </c>
      <c r="L6" s="246" t="s">
        <v>120</v>
      </c>
      <c r="M6" s="247">
        <v>44209.0</v>
      </c>
      <c r="N6" s="248" t="s">
        <v>233</v>
      </c>
      <c r="O6" s="249">
        <v>199.99</v>
      </c>
      <c r="P6" s="250">
        <v>3.0</v>
      </c>
      <c r="Q6" s="236">
        <f t="shared" si="1"/>
        <v>66.66333333</v>
      </c>
      <c r="R6" s="237" t="s">
        <v>14</v>
      </c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</row>
    <row r="7">
      <c r="A7" s="238" t="s">
        <v>57</v>
      </c>
      <c r="B7" s="239" t="s">
        <v>85</v>
      </c>
      <c r="C7" s="240">
        <v>44205.0</v>
      </c>
      <c r="D7" s="241" t="s">
        <v>182</v>
      </c>
      <c r="E7" s="225">
        <v>52.0</v>
      </c>
      <c r="F7" s="227" t="s">
        <v>14</v>
      </c>
      <c r="G7" s="227" t="s">
        <v>16</v>
      </c>
      <c r="H7" s="253"/>
      <c r="I7" s="214"/>
      <c r="J7" s="244" t="s">
        <v>57</v>
      </c>
      <c r="K7" s="245">
        <f t="shared" si="2"/>
        <v>5</v>
      </c>
      <c r="L7" s="246" t="s">
        <v>120</v>
      </c>
      <c r="M7" s="247">
        <v>44222.0</v>
      </c>
      <c r="N7" s="248" t="s">
        <v>234</v>
      </c>
      <c r="O7" s="249">
        <v>299.0</v>
      </c>
      <c r="P7" s="250">
        <v>3.0</v>
      </c>
      <c r="Q7" s="236">
        <f t="shared" si="1"/>
        <v>99.66666667</v>
      </c>
      <c r="R7" s="237" t="s">
        <v>14</v>
      </c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</row>
    <row r="8">
      <c r="A8" s="238" t="s">
        <v>57</v>
      </c>
      <c r="B8" s="239" t="s">
        <v>106</v>
      </c>
      <c r="C8" s="240">
        <v>44205.0</v>
      </c>
      <c r="D8" s="241" t="s">
        <v>235</v>
      </c>
      <c r="E8" s="225">
        <v>5.0</v>
      </c>
      <c r="F8" s="227" t="s">
        <v>14</v>
      </c>
      <c r="G8" s="227" t="s">
        <v>16</v>
      </c>
      <c r="H8" s="242"/>
      <c r="I8" s="214"/>
      <c r="J8" s="244" t="s">
        <v>57</v>
      </c>
      <c r="K8" s="245">
        <f t="shared" si="2"/>
        <v>6</v>
      </c>
      <c r="L8" s="254"/>
      <c r="M8" s="247"/>
      <c r="N8" s="248"/>
      <c r="O8" s="249"/>
      <c r="P8" s="250"/>
      <c r="Q8" s="236" t="str">
        <f t="shared" si="1"/>
        <v/>
      </c>
      <c r="R8" s="237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</row>
    <row r="9">
      <c r="A9" s="238" t="s">
        <v>57</v>
      </c>
      <c r="B9" s="239" t="s">
        <v>118</v>
      </c>
      <c r="C9" s="240">
        <v>44204.0</v>
      </c>
      <c r="D9" s="241" t="s">
        <v>236</v>
      </c>
      <c r="E9" s="225">
        <v>100.0</v>
      </c>
      <c r="F9" s="227" t="s">
        <v>24</v>
      </c>
      <c r="G9" s="227" t="s">
        <v>26</v>
      </c>
      <c r="H9" s="253"/>
      <c r="I9" s="214"/>
      <c r="J9" s="244" t="s">
        <v>57</v>
      </c>
      <c r="K9" s="245">
        <f t="shared" si="2"/>
        <v>7</v>
      </c>
      <c r="L9" s="254"/>
      <c r="M9" s="247"/>
      <c r="N9" s="248"/>
      <c r="O9" s="249"/>
      <c r="P9" s="250"/>
      <c r="Q9" s="236" t="str">
        <f t="shared" si="1"/>
        <v/>
      </c>
      <c r="R9" s="237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</row>
    <row r="10">
      <c r="A10" s="238" t="s">
        <v>57</v>
      </c>
      <c r="B10" s="239" t="s">
        <v>85</v>
      </c>
      <c r="C10" s="240">
        <v>44206.0</v>
      </c>
      <c r="D10" s="241" t="s">
        <v>237</v>
      </c>
      <c r="E10" s="225">
        <v>29.5</v>
      </c>
      <c r="F10" s="227" t="s">
        <v>14</v>
      </c>
      <c r="G10" s="227" t="s">
        <v>16</v>
      </c>
      <c r="H10" s="242"/>
      <c r="I10" s="214"/>
      <c r="J10" s="244" t="s">
        <v>57</v>
      </c>
      <c r="K10" s="245">
        <f t="shared" si="2"/>
        <v>8</v>
      </c>
      <c r="L10" s="254"/>
      <c r="M10" s="247"/>
      <c r="N10" s="248"/>
      <c r="O10" s="249"/>
      <c r="P10" s="250"/>
      <c r="Q10" s="236" t="str">
        <f t="shared" si="1"/>
        <v/>
      </c>
      <c r="R10" s="237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</row>
    <row r="11">
      <c r="A11" s="238" t="s">
        <v>57</v>
      </c>
      <c r="B11" s="239" t="s">
        <v>85</v>
      </c>
      <c r="C11" s="240">
        <v>44208.0</v>
      </c>
      <c r="D11" s="241" t="s">
        <v>182</v>
      </c>
      <c r="E11" s="225">
        <v>30.0</v>
      </c>
      <c r="F11" s="227" t="s">
        <v>24</v>
      </c>
      <c r="G11" s="227" t="s">
        <v>26</v>
      </c>
      <c r="H11" s="253"/>
      <c r="I11" s="214"/>
      <c r="J11" s="244" t="s">
        <v>57</v>
      </c>
      <c r="K11" s="245">
        <f t="shared" si="2"/>
        <v>9</v>
      </c>
      <c r="L11" s="254"/>
      <c r="M11" s="247"/>
      <c r="N11" s="248"/>
      <c r="O11" s="249"/>
      <c r="P11" s="250"/>
      <c r="Q11" s="236" t="str">
        <f t="shared" si="1"/>
        <v/>
      </c>
      <c r="R11" s="237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</row>
    <row r="12">
      <c r="A12" s="238" t="s">
        <v>57</v>
      </c>
      <c r="B12" s="239" t="s">
        <v>85</v>
      </c>
      <c r="C12" s="240">
        <v>44209.0</v>
      </c>
      <c r="D12" s="241" t="s">
        <v>182</v>
      </c>
      <c r="E12" s="225">
        <v>34.9</v>
      </c>
      <c r="F12" s="227" t="s">
        <v>14</v>
      </c>
      <c r="G12" s="227" t="s">
        <v>16</v>
      </c>
      <c r="H12" s="242"/>
      <c r="I12" s="214"/>
      <c r="J12" s="244" t="s">
        <v>57</v>
      </c>
      <c r="K12" s="245">
        <f t="shared" si="2"/>
        <v>10</v>
      </c>
      <c r="L12" s="254"/>
      <c r="M12" s="247"/>
      <c r="N12" s="248"/>
      <c r="O12" s="249"/>
      <c r="P12" s="250"/>
      <c r="Q12" s="236" t="str">
        <f t="shared" si="1"/>
        <v/>
      </c>
      <c r="R12" s="237"/>
      <c r="S12" s="255"/>
      <c r="T12" s="115"/>
      <c r="U12" s="115"/>
      <c r="V12" s="115"/>
      <c r="W12" s="115"/>
      <c r="X12" s="115"/>
      <c r="Y12" s="115"/>
      <c r="Z12" s="232"/>
      <c r="AA12" s="233"/>
      <c r="AB12" s="234"/>
      <c r="AC12" s="227"/>
    </row>
    <row r="13">
      <c r="A13" s="238" t="s">
        <v>57</v>
      </c>
      <c r="B13" s="239" t="s">
        <v>85</v>
      </c>
      <c r="C13" s="240">
        <v>44211.0</v>
      </c>
      <c r="D13" s="241" t="s">
        <v>238</v>
      </c>
      <c r="E13" s="225">
        <v>30.0</v>
      </c>
      <c r="F13" s="227" t="s">
        <v>24</v>
      </c>
      <c r="G13" s="227" t="s">
        <v>26</v>
      </c>
      <c r="H13" s="253"/>
      <c r="I13" s="214"/>
      <c r="J13" s="244" t="s">
        <v>57</v>
      </c>
      <c r="K13" s="245">
        <f t="shared" si="2"/>
        <v>11</v>
      </c>
      <c r="L13" s="256"/>
      <c r="M13" s="257"/>
      <c r="N13" s="258"/>
      <c r="O13" s="252"/>
      <c r="P13" s="259"/>
      <c r="Q13" s="236" t="str">
        <f t="shared" si="1"/>
        <v/>
      </c>
      <c r="R13" s="237"/>
      <c r="S13" s="25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</row>
    <row r="14">
      <c r="A14" s="238" t="s">
        <v>57</v>
      </c>
      <c r="B14" s="239" t="s">
        <v>85</v>
      </c>
      <c r="C14" s="240">
        <v>44213.0</v>
      </c>
      <c r="D14" s="241" t="s">
        <v>237</v>
      </c>
      <c r="E14" s="225">
        <v>15.0</v>
      </c>
      <c r="F14" s="227" t="s">
        <v>14</v>
      </c>
      <c r="G14" s="227" t="s">
        <v>16</v>
      </c>
      <c r="H14" s="242"/>
      <c r="I14" s="214"/>
      <c r="J14" s="244" t="s">
        <v>57</v>
      </c>
      <c r="K14" s="245">
        <f t="shared" si="2"/>
        <v>12</v>
      </c>
      <c r="L14" s="256"/>
      <c r="M14" s="257"/>
      <c r="N14" s="258"/>
      <c r="O14" s="252"/>
      <c r="P14" s="259"/>
      <c r="Q14" s="236" t="str">
        <f t="shared" si="1"/>
        <v/>
      </c>
      <c r="R14" s="237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</row>
    <row r="15">
      <c r="A15" s="238" t="s">
        <v>57</v>
      </c>
      <c r="B15" s="239" t="s">
        <v>91</v>
      </c>
      <c r="C15" s="240">
        <v>44221.0</v>
      </c>
      <c r="D15" s="241" t="s">
        <v>188</v>
      </c>
      <c r="E15" s="225">
        <v>111.61</v>
      </c>
      <c r="F15" s="227" t="s">
        <v>14</v>
      </c>
      <c r="G15" s="227" t="s">
        <v>16</v>
      </c>
      <c r="H15" s="253"/>
      <c r="I15" s="214"/>
      <c r="J15" s="244" t="s">
        <v>57</v>
      </c>
      <c r="K15" s="245">
        <f t="shared" si="2"/>
        <v>13</v>
      </c>
      <c r="L15" s="256"/>
      <c r="M15" s="257"/>
      <c r="N15" s="258"/>
      <c r="O15" s="252"/>
      <c r="P15" s="259"/>
      <c r="Q15" s="236" t="str">
        <f t="shared" si="1"/>
        <v/>
      </c>
      <c r="R15" s="237"/>
      <c r="S15" s="115"/>
      <c r="T15" s="260"/>
      <c r="U15" s="122"/>
      <c r="V15" s="122"/>
      <c r="W15" s="115"/>
      <c r="X15" s="115"/>
      <c r="Y15" s="115"/>
      <c r="Z15" s="115"/>
      <c r="AA15" s="115"/>
      <c r="AB15" s="115"/>
      <c r="AC15" s="115"/>
    </row>
    <row r="16">
      <c r="A16" s="238" t="s">
        <v>57</v>
      </c>
      <c r="B16" s="239" t="s">
        <v>118</v>
      </c>
      <c r="C16" s="240">
        <v>44219.0</v>
      </c>
      <c r="D16" s="241" t="s">
        <v>136</v>
      </c>
      <c r="E16" s="225">
        <v>100.0</v>
      </c>
      <c r="F16" s="227" t="s">
        <v>24</v>
      </c>
      <c r="G16" s="227" t="s">
        <v>26</v>
      </c>
      <c r="H16" s="242"/>
      <c r="I16" s="214"/>
      <c r="J16" s="244" t="s">
        <v>57</v>
      </c>
      <c r="K16" s="245">
        <f t="shared" si="2"/>
        <v>14</v>
      </c>
      <c r="L16" s="256"/>
      <c r="M16" s="257"/>
      <c r="N16" s="258"/>
      <c r="O16" s="252"/>
      <c r="P16" s="259"/>
      <c r="Q16" s="236" t="str">
        <f t="shared" si="1"/>
        <v/>
      </c>
      <c r="R16" s="237"/>
      <c r="S16" s="115"/>
      <c r="T16" s="261"/>
      <c r="U16" s="262"/>
      <c r="V16" s="122"/>
      <c r="W16" s="115"/>
      <c r="X16" s="115"/>
      <c r="Y16" s="115"/>
      <c r="Z16" s="115"/>
      <c r="AA16" s="115"/>
      <c r="AB16" s="115"/>
      <c r="AC16" s="115"/>
    </row>
    <row r="17">
      <c r="A17" s="238" t="s">
        <v>57</v>
      </c>
      <c r="B17" s="239" t="s">
        <v>91</v>
      </c>
      <c r="C17" s="240">
        <v>44225.0</v>
      </c>
      <c r="D17" s="241" t="s">
        <v>146</v>
      </c>
      <c r="E17" s="225">
        <v>279.99</v>
      </c>
      <c r="F17" s="227" t="s">
        <v>14</v>
      </c>
      <c r="G17" s="227" t="s">
        <v>16</v>
      </c>
      <c r="H17" s="253"/>
      <c r="I17" s="214"/>
      <c r="J17" s="244" t="s">
        <v>57</v>
      </c>
      <c r="K17" s="245">
        <f t="shared" si="2"/>
        <v>15</v>
      </c>
      <c r="L17" s="256"/>
      <c r="M17" s="257"/>
      <c r="N17" s="258"/>
      <c r="O17" s="252"/>
      <c r="P17" s="259"/>
      <c r="Q17" s="236" t="str">
        <f t="shared" si="1"/>
        <v/>
      </c>
      <c r="R17" s="237"/>
      <c r="S17" s="115"/>
      <c r="T17" s="261"/>
      <c r="U17" s="262"/>
      <c r="V17" s="122"/>
      <c r="W17" s="115"/>
      <c r="X17" s="115"/>
      <c r="Y17" s="115"/>
      <c r="Z17" s="115"/>
      <c r="AA17" s="115"/>
      <c r="AB17" s="115"/>
      <c r="AC17" s="115"/>
    </row>
    <row r="18">
      <c r="A18" s="238" t="s">
        <v>57</v>
      </c>
      <c r="B18" s="239"/>
      <c r="C18" s="240"/>
      <c r="D18" s="241"/>
      <c r="E18" s="263"/>
      <c r="F18" s="227"/>
      <c r="G18" s="227"/>
      <c r="H18" s="242"/>
      <c r="I18" s="214"/>
      <c r="J18" s="244" t="s">
        <v>57</v>
      </c>
      <c r="K18" s="245">
        <f t="shared" si="2"/>
        <v>16</v>
      </c>
      <c r="L18" s="256"/>
      <c r="M18" s="257"/>
      <c r="N18" s="258"/>
      <c r="O18" s="252"/>
      <c r="P18" s="259"/>
      <c r="Q18" s="236" t="str">
        <f t="shared" si="1"/>
        <v/>
      </c>
      <c r="R18" s="237"/>
      <c r="S18" s="115"/>
      <c r="T18" s="264"/>
      <c r="U18" s="262"/>
      <c r="V18" s="122"/>
      <c r="W18" s="115"/>
      <c r="X18" s="115"/>
      <c r="Y18" s="115"/>
      <c r="Z18" s="115"/>
      <c r="AA18" s="115"/>
      <c r="AB18" s="115"/>
      <c r="AC18" s="115"/>
    </row>
    <row r="19">
      <c r="A19" s="238" t="s">
        <v>57</v>
      </c>
      <c r="B19" s="239"/>
      <c r="C19" s="240"/>
      <c r="D19" s="241"/>
      <c r="E19" s="263"/>
      <c r="F19" s="227"/>
      <c r="G19" s="227"/>
      <c r="H19" s="253"/>
      <c r="I19" s="214"/>
      <c r="J19" s="244" t="s">
        <v>57</v>
      </c>
      <c r="K19" s="245">
        <f t="shared" si="2"/>
        <v>17</v>
      </c>
      <c r="L19" s="256"/>
      <c r="M19" s="257"/>
      <c r="N19" s="258"/>
      <c r="O19" s="252"/>
      <c r="P19" s="259"/>
      <c r="Q19" s="236" t="str">
        <f t="shared" si="1"/>
        <v/>
      </c>
      <c r="R19" s="237"/>
      <c r="S19" s="115"/>
      <c r="T19" s="261"/>
      <c r="U19" s="262"/>
      <c r="V19" s="122"/>
      <c r="W19" s="115"/>
      <c r="X19" s="115"/>
      <c r="Y19" s="115"/>
      <c r="Z19" s="115"/>
      <c r="AA19" s="115"/>
      <c r="AB19" s="115"/>
      <c r="AC19" s="115"/>
    </row>
    <row r="20">
      <c r="A20" s="238" t="s">
        <v>57</v>
      </c>
      <c r="B20" s="239"/>
      <c r="C20" s="240"/>
      <c r="D20" s="241"/>
      <c r="E20" s="263"/>
      <c r="F20" s="227"/>
      <c r="G20" s="227"/>
      <c r="H20" s="242"/>
      <c r="I20" s="214"/>
      <c r="J20" s="244" t="s">
        <v>57</v>
      </c>
      <c r="K20" s="245">
        <f t="shared" si="2"/>
        <v>18</v>
      </c>
      <c r="L20" s="256"/>
      <c r="M20" s="257"/>
      <c r="N20" s="258"/>
      <c r="O20" s="252"/>
      <c r="P20" s="259"/>
      <c r="Q20" s="236" t="str">
        <f t="shared" si="1"/>
        <v/>
      </c>
      <c r="R20" s="237"/>
      <c r="S20" s="115"/>
      <c r="T20" s="261"/>
      <c r="U20" s="262"/>
      <c r="V20" s="122"/>
      <c r="W20" s="115"/>
      <c r="X20" s="115"/>
      <c r="Y20" s="115"/>
      <c r="Z20" s="115"/>
      <c r="AA20" s="115"/>
      <c r="AB20" s="115"/>
      <c r="AC20" s="115"/>
    </row>
    <row r="21">
      <c r="A21" s="238" t="s">
        <v>57</v>
      </c>
      <c r="B21" s="239"/>
      <c r="C21" s="240"/>
      <c r="D21" s="241"/>
      <c r="E21" s="263"/>
      <c r="F21" s="227"/>
      <c r="G21" s="227"/>
      <c r="H21" s="253"/>
      <c r="I21" s="214"/>
      <c r="J21" s="244" t="s">
        <v>57</v>
      </c>
      <c r="K21" s="245">
        <f t="shared" si="2"/>
        <v>19</v>
      </c>
      <c r="L21" s="256"/>
      <c r="M21" s="257"/>
      <c r="N21" s="258"/>
      <c r="O21" s="252"/>
      <c r="P21" s="259"/>
      <c r="Q21" s="236" t="str">
        <f t="shared" si="1"/>
        <v/>
      </c>
      <c r="R21" s="237"/>
      <c r="S21" s="115"/>
      <c r="T21" s="264"/>
      <c r="U21" s="262"/>
      <c r="V21" s="122"/>
      <c r="W21" s="115"/>
      <c r="X21" s="115"/>
      <c r="Y21" s="115"/>
      <c r="Z21" s="115"/>
      <c r="AA21" s="115"/>
      <c r="AB21" s="115"/>
      <c r="AC21" s="115"/>
    </row>
    <row r="22">
      <c r="A22" s="238" t="s">
        <v>57</v>
      </c>
      <c r="B22" s="239"/>
      <c r="C22" s="240"/>
      <c r="D22" s="241"/>
      <c r="E22" s="263"/>
      <c r="F22" s="227"/>
      <c r="G22" s="227"/>
      <c r="H22" s="242"/>
      <c r="I22" s="214"/>
      <c r="J22" s="244" t="s">
        <v>57</v>
      </c>
      <c r="K22" s="245">
        <f t="shared" si="2"/>
        <v>20</v>
      </c>
      <c r="L22" s="256"/>
      <c r="M22" s="257"/>
      <c r="N22" s="258"/>
      <c r="O22" s="252"/>
      <c r="P22" s="259"/>
      <c r="Q22" s="236" t="str">
        <f t="shared" si="1"/>
        <v/>
      </c>
      <c r="R22" s="237"/>
      <c r="S22" s="115"/>
      <c r="T22" s="261"/>
      <c r="U22" s="262"/>
      <c r="V22" s="122"/>
      <c r="W22" s="115"/>
      <c r="X22" s="115"/>
      <c r="Y22" s="115"/>
      <c r="Z22" s="115"/>
      <c r="AA22" s="115"/>
      <c r="AB22" s="115"/>
      <c r="AC22" s="115"/>
    </row>
    <row r="23">
      <c r="A23" s="238" t="s">
        <v>57</v>
      </c>
      <c r="B23" s="239"/>
      <c r="C23" s="240"/>
      <c r="D23" s="241"/>
      <c r="E23" s="263"/>
      <c r="F23" s="227"/>
      <c r="G23" s="227"/>
      <c r="H23" s="253"/>
      <c r="I23" s="214"/>
      <c r="J23" s="244" t="s">
        <v>57</v>
      </c>
      <c r="K23" s="245">
        <f t="shared" si="2"/>
        <v>21</v>
      </c>
      <c r="L23" s="256"/>
      <c r="M23" s="257"/>
      <c r="N23" s="258"/>
      <c r="O23" s="252"/>
      <c r="P23" s="259"/>
      <c r="Q23" s="236" t="str">
        <f t="shared" si="1"/>
        <v/>
      </c>
      <c r="R23" s="237"/>
      <c r="S23" s="115"/>
      <c r="T23" s="261"/>
      <c r="U23" s="262"/>
      <c r="V23" s="122"/>
      <c r="W23" s="115"/>
      <c r="X23" s="115"/>
      <c r="Y23" s="115"/>
      <c r="Z23" s="115"/>
      <c r="AA23" s="115"/>
      <c r="AB23" s="115"/>
      <c r="AC23" s="115"/>
    </row>
    <row r="24">
      <c r="A24" s="238" t="s">
        <v>57</v>
      </c>
      <c r="B24" s="239"/>
      <c r="C24" s="240"/>
      <c r="D24" s="241"/>
      <c r="E24" s="263"/>
      <c r="F24" s="227"/>
      <c r="G24" s="227"/>
      <c r="H24" s="242"/>
      <c r="I24" s="214"/>
      <c r="J24" s="244" t="s">
        <v>57</v>
      </c>
      <c r="K24" s="245">
        <f t="shared" si="2"/>
        <v>22</v>
      </c>
      <c r="L24" s="256"/>
      <c r="M24" s="257"/>
      <c r="N24" s="258"/>
      <c r="O24" s="252"/>
      <c r="P24" s="259"/>
      <c r="Q24" s="236" t="str">
        <f t="shared" si="1"/>
        <v/>
      </c>
      <c r="R24" s="237"/>
      <c r="S24" s="115"/>
      <c r="T24" s="261"/>
      <c r="U24" s="262"/>
      <c r="V24" s="122"/>
      <c r="W24" s="115"/>
      <c r="X24" s="115"/>
      <c r="Y24" s="115"/>
      <c r="Z24" s="115"/>
      <c r="AA24" s="115"/>
      <c r="AB24" s="115"/>
      <c r="AC24" s="115"/>
    </row>
    <row r="25">
      <c r="A25" s="238" t="s">
        <v>57</v>
      </c>
      <c r="B25" s="239"/>
      <c r="C25" s="240"/>
      <c r="D25" s="241"/>
      <c r="E25" s="263"/>
      <c r="F25" s="227"/>
      <c r="G25" s="227"/>
      <c r="H25" s="253"/>
      <c r="I25" s="214"/>
      <c r="J25" s="244" t="s">
        <v>57</v>
      </c>
      <c r="K25" s="245">
        <f t="shared" si="2"/>
        <v>23</v>
      </c>
      <c r="L25" s="256"/>
      <c r="M25" s="257"/>
      <c r="N25" s="258"/>
      <c r="O25" s="252"/>
      <c r="P25" s="259"/>
      <c r="Q25" s="236" t="str">
        <f t="shared" si="1"/>
        <v/>
      </c>
      <c r="R25" s="237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</row>
    <row r="26">
      <c r="A26" s="238" t="s">
        <v>57</v>
      </c>
      <c r="B26" s="239"/>
      <c r="C26" s="240"/>
      <c r="D26" s="241"/>
      <c r="E26" s="263"/>
      <c r="F26" s="227"/>
      <c r="G26" s="227"/>
      <c r="H26" s="242"/>
      <c r="I26" s="214"/>
      <c r="J26" s="244" t="s">
        <v>57</v>
      </c>
      <c r="K26" s="245">
        <f t="shared" si="2"/>
        <v>24</v>
      </c>
      <c r="L26" s="256"/>
      <c r="M26" s="257"/>
      <c r="N26" s="258"/>
      <c r="O26" s="252"/>
      <c r="P26" s="259"/>
      <c r="Q26" s="236" t="str">
        <f t="shared" si="1"/>
        <v/>
      </c>
      <c r="R26" s="237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</row>
    <row r="27">
      <c r="A27" s="238" t="s">
        <v>57</v>
      </c>
      <c r="B27" s="239"/>
      <c r="C27" s="240"/>
      <c r="D27" s="241"/>
      <c r="E27" s="263"/>
      <c r="F27" s="227"/>
      <c r="G27" s="227"/>
      <c r="H27" s="253"/>
      <c r="I27" s="265"/>
      <c r="J27" s="244" t="s">
        <v>57</v>
      </c>
      <c r="K27" s="245">
        <f t="shared" si="2"/>
        <v>25</v>
      </c>
      <c r="L27" s="266"/>
      <c r="M27" s="267"/>
      <c r="N27" s="268"/>
      <c r="O27" s="269"/>
      <c r="P27" s="270"/>
      <c r="Q27" s="236" t="str">
        <f t="shared" si="1"/>
        <v/>
      </c>
      <c r="R27" s="237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</row>
    <row r="28">
      <c r="A28" s="238" t="s">
        <v>57</v>
      </c>
      <c r="B28" s="239"/>
      <c r="C28" s="240"/>
      <c r="D28" s="241"/>
      <c r="E28" s="271"/>
      <c r="F28" s="227"/>
      <c r="G28" s="227"/>
      <c r="H28" s="272"/>
      <c r="I28" s="265"/>
      <c r="J28" s="244" t="s">
        <v>57</v>
      </c>
      <c r="K28" s="245">
        <f t="shared" si="2"/>
        <v>26</v>
      </c>
      <c r="L28" s="266"/>
      <c r="M28" s="267"/>
      <c r="N28" s="268"/>
      <c r="O28" s="269"/>
      <c r="P28" s="270"/>
      <c r="Q28" s="236" t="str">
        <f t="shared" si="1"/>
        <v/>
      </c>
      <c r="R28" s="237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</row>
    <row r="29">
      <c r="A29" s="238" t="s">
        <v>57</v>
      </c>
      <c r="B29" s="239"/>
      <c r="C29" s="240"/>
      <c r="D29" s="241"/>
      <c r="E29" s="271"/>
      <c r="F29" s="227"/>
      <c r="G29" s="227"/>
      <c r="H29" s="253"/>
      <c r="I29" s="265"/>
      <c r="J29" s="244" t="s">
        <v>57</v>
      </c>
      <c r="K29" s="245">
        <f t="shared" si="2"/>
        <v>27</v>
      </c>
      <c r="L29" s="266"/>
      <c r="M29" s="267"/>
      <c r="N29" s="268"/>
      <c r="O29" s="269"/>
      <c r="P29" s="270"/>
      <c r="Q29" s="236" t="str">
        <f t="shared" si="1"/>
        <v/>
      </c>
      <c r="R29" s="237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</row>
    <row r="30">
      <c r="A30" s="238" t="s">
        <v>57</v>
      </c>
      <c r="B30" s="239"/>
      <c r="C30" s="240"/>
      <c r="D30" s="241"/>
      <c r="E30" s="271"/>
      <c r="F30" s="227"/>
      <c r="G30" s="227"/>
      <c r="H30" s="242"/>
      <c r="I30" s="265"/>
      <c r="J30" s="244" t="s">
        <v>57</v>
      </c>
      <c r="K30" s="245">
        <f t="shared" si="2"/>
        <v>28</v>
      </c>
      <c r="L30" s="266"/>
      <c r="M30" s="267"/>
      <c r="N30" s="268"/>
      <c r="O30" s="269"/>
      <c r="P30" s="270"/>
      <c r="Q30" s="236" t="str">
        <f t="shared" si="1"/>
        <v/>
      </c>
      <c r="R30" s="237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</row>
    <row r="31">
      <c r="A31" s="238" t="s">
        <v>57</v>
      </c>
      <c r="B31" s="239"/>
      <c r="C31" s="240"/>
      <c r="D31" s="241"/>
      <c r="E31" s="271"/>
      <c r="F31" s="227"/>
      <c r="G31" s="227"/>
      <c r="H31" s="253"/>
      <c r="I31" s="265"/>
      <c r="J31" s="244" t="s">
        <v>57</v>
      </c>
      <c r="K31" s="245">
        <f t="shared" si="2"/>
        <v>29</v>
      </c>
      <c r="L31" s="266"/>
      <c r="M31" s="267"/>
      <c r="N31" s="268"/>
      <c r="O31" s="269"/>
      <c r="P31" s="270"/>
      <c r="Q31" s="236" t="str">
        <f t="shared" si="1"/>
        <v/>
      </c>
      <c r="R31" s="237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</row>
    <row r="32">
      <c r="A32" s="238" t="s">
        <v>57</v>
      </c>
      <c r="B32" s="239"/>
      <c r="C32" s="240"/>
      <c r="D32" s="241"/>
      <c r="E32" s="271"/>
      <c r="F32" s="227"/>
      <c r="G32" s="227"/>
      <c r="H32" s="242"/>
      <c r="I32" s="265"/>
      <c r="J32" s="244" t="s">
        <v>57</v>
      </c>
      <c r="K32" s="245">
        <f t="shared" si="2"/>
        <v>30</v>
      </c>
      <c r="L32" s="266"/>
      <c r="M32" s="267"/>
      <c r="N32" s="268"/>
      <c r="O32" s="269"/>
      <c r="P32" s="270"/>
      <c r="Q32" s="236" t="str">
        <f t="shared" si="1"/>
        <v/>
      </c>
      <c r="R32" s="237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</row>
    <row r="33">
      <c r="A33" s="238" t="s">
        <v>57</v>
      </c>
      <c r="B33" s="239"/>
      <c r="C33" s="240"/>
      <c r="D33" s="241"/>
      <c r="E33" s="271"/>
      <c r="F33" s="227"/>
      <c r="G33" s="227"/>
      <c r="H33" s="253"/>
      <c r="I33" s="265"/>
      <c r="J33" s="244" t="s">
        <v>57</v>
      </c>
      <c r="K33" s="245">
        <f t="shared" si="2"/>
        <v>31</v>
      </c>
      <c r="L33" s="266"/>
      <c r="M33" s="267"/>
      <c r="N33" s="268"/>
      <c r="O33" s="269"/>
      <c r="P33" s="270"/>
      <c r="Q33" s="236" t="str">
        <f t="shared" si="1"/>
        <v/>
      </c>
      <c r="R33" s="273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</row>
    <row r="34">
      <c r="A34" s="238" t="s">
        <v>57</v>
      </c>
      <c r="B34" s="239"/>
      <c r="C34" s="240"/>
      <c r="D34" s="241"/>
      <c r="E34" s="271"/>
      <c r="F34" s="227"/>
      <c r="G34" s="227"/>
      <c r="H34" s="242"/>
      <c r="I34" s="265"/>
      <c r="J34" s="244" t="s">
        <v>57</v>
      </c>
      <c r="K34" s="245">
        <f t="shared" si="2"/>
        <v>32</v>
      </c>
      <c r="L34" s="266"/>
      <c r="M34" s="267"/>
      <c r="N34" s="227"/>
      <c r="O34" s="234"/>
      <c r="P34" s="235"/>
      <c r="Q34" s="236" t="str">
        <f t="shared" si="1"/>
        <v/>
      </c>
      <c r="R34" s="273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</row>
    <row r="35">
      <c r="A35" s="238" t="s">
        <v>57</v>
      </c>
      <c r="B35" s="239"/>
      <c r="C35" s="240"/>
      <c r="D35" s="241"/>
      <c r="E35" s="271"/>
      <c r="F35" s="227"/>
      <c r="G35" s="227"/>
      <c r="H35" s="253"/>
      <c r="I35" s="265"/>
      <c r="J35" s="244" t="s">
        <v>57</v>
      </c>
      <c r="K35" s="245">
        <f t="shared" si="2"/>
        <v>33</v>
      </c>
      <c r="L35" s="266"/>
      <c r="M35" s="267"/>
      <c r="N35" s="227"/>
      <c r="O35" s="234"/>
      <c r="P35" s="235"/>
      <c r="Q35" s="236" t="str">
        <f t="shared" si="1"/>
        <v/>
      </c>
      <c r="R35" s="273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</row>
    <row r="36">
      <c r="A36" s="238" t="s">
        <v>57</v>
      </c>
      <c r="B36" s="239"/>
      <c r="C36" s="240"/>
      <c r="D36" s="241"/>
      <c r="E36" s="271"/>
      <c r="F36" s="227"/>
      <c r="G36" s="227"/>
      <c r="H36" s="242"/>
      <c r="I36" s="265"/>
      <c r="J36" s="244" t="s">
        <v>57</v>
      </c>
      <c r="K36" s="245">
        <f t="shared" si="2"/>
        <v>34</v>
      </c>
      <c r="L36" s="266"/>
      <c r="M36" s="267"/>
      <c r="N36" s="274"/>
      <c r="O36" s="234"/>
      <c r="P36" s="235"/>
      <c r="Q36" s="236" t="str">
        <f t="shared" si="1"/>
        <v/>
      </c>
      <c r="R36" s="273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</row>
    <row r="37">
      <c r="A37" s="238" t="s">
        <v>57</v>
      </c>
      <c r="B37" s="239"/>
      <c r="C37" s="240"/>
      <c r="D37" s="241"/>
      <c r="E37" s="271"/>
      <c r="F37" s="227"/>
      <c r="G37" s="227"/>
      <c r="H37" s="253"/>
      <c r="I37" s="265"/>
      <c r="J37" s="244" t="s">
        <v>57</v>
      </c>
      <c r="K37" s="245">
        <f t="shared" si="2"/>
        <v>35</v>
      </c>
      <c r="L37" s="266"/>
      <c r="M37" s="267"/>
      <c r="N37" s="274"/>
      <c r="O37" s="234"/>
      <c r="P37" s="235"/>
      <c r="Q37" s="236" t="str">
        <f t="shared" si="1"/>
        <v/>
      </c>
      <c r="R37" s="273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</row>
    <row r="38">
      <c r="A38" s="238" t="s">
        <v>57</v>
      </c>
      <c r="B38" s="239"/>
      <c r="C38" s="240"/>
      <c r="D38" s="241"/>
      <c r="E38" s="271"/>
      <c r="F38" s="227"/>
      <c r="G38" s="227"/>
      <c r="H38" s="242"/>
      <c r="I38" s="265"/>
      <c r="J38" s="244" t="s">
        <v>57</v>
      </c>
      <c r="K38" s="245">
        <f t="shared" si="2"/>
        <v>36</v>
      </c>
      <c r="L38" s="266"/>
      <c r="M38" s="267"/>
      <c r="N38" s="274"/>
      <c r="O38" s="234"/>
      <c r="P38" s="235"/>
      <c r="Q38" s="236" t="str">
        <f t="shared" si="1"/>
        <v/>
      </c>
      <c r="R38" s="273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</row>
    <row r="39">
      <c r="A39" s="238" t="s">
        <v>57</v>
      </c>
      <c r="B39" s="239"/>
      <c r="C39" s="240"/>
      <c r="D39" s="241"/>
      <c r="E39" s="271"/>
      <c r="F39" s="227"/>
      <c r="G39" s="227"/>
      <c r="H39" s="253"/>
      <c r="I39" s="265"/>
      <c r="J39" s="244" t="s">
        <v>57</v>
      </c>
      <c r="K39" s="245">
        <f t="shared" si="2"/>
        <v>37</v>
      </c>
      <c r="L39" s="266"/>
      <c r="M39" s="267"/>
      <c r="N39" s="275"/>
      <c r="O39" s="269"/>
      <c r="P39" s="270"/>
      <c r="Q39" s="236" t="str">
        <f t="shared" si="1"/>
        <v/>
      </c>
      <c r="R39" s="273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</row>
    <row r="40">
      <c r="A40" s="238" t="s">
        <v>57</v>
      </c>
      <c r="B40" s="239"/>
      <c r="C40" s="240"/>
      <c r="D40" s="241"/>
      <c r="E40" s="271"/>
      <c r="F40" s="227"/>
      <c r="G40" s="227"/>
      <c r="H40" s="242"/>
      <c r="I40" s="265"/>
      <c r="J40" s="244" t="s">
        <v>57</v>
      </c>
      <c r="K40" s="245">
        <f t="shared" si="2"/>
        <v>38</v>
      </c>
      <c r="L40" s="266"/>
      <c r="M40" s="267"/>
      <c r="N40" s="275"/>
      <c r="O40" s="269"/>
      <c r="P40" s="270"/>
      <c r="Q40" s="236" t="str">
        <f t="shared" si="1"/>
        <v/>
      </c>
      <c r="R40" s="273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</row>
    <row r="41">
      <c r="A41" s="238" t="s">
        <v>57</v>
      </c>
      <c r="B41" s="239"/>
      <c r="C41" s="240"/>
      <c r="D41" s="241"/>
      <c r="E41" s="271"/>
      <c r="F41" s="227"/>
      <c r="G41" s="227"/>
      <c r="H41" s="253"/>
      <c r="I41" s="265"/>
      <c r="J41" s="244" t="s">
        <v>57</v>
      </c>
      <c r="K41" s="245">
        <f t="shared" si="2"/>
        <v>39</v>
      </c>
      <c r="L41" s="266"/>
      <c r="M41" s="267"/>
      <c r="N41" s="275"/>
      <c r="O41" s="269"/>
      <c r="P41" s="270"/>
      <c r="Q41" s="236" t="str">
        <f t="shared" si="1"/>
        <v/>
      </c>
      <c r="R41" s="273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</row>
    <row r="42">
      <c r="A42" s="238" t="s">
        <v>57</v>
      </c>
      <c r="B42" s="239"/>
      <c r="C42" s="240"/>
      <c r="D42" s="241"/>
      <c r="E42" s="271"/>
      <c r="F42" s="227"/>
      <c r="G42" s="227"/>
      <c r="H42" s="242"/>
      <c r="I42" s="265"/>
      <c r="J42" s="244" t="s">
        <v>57</v>
      </c>
      <c r="K42" s="245">
        <f t="shared" si="2"/>
        <v>40</v>
      </c>
      <c r="L42" s="266"/>
      <c r="M42" s="267"/>
      <c r="N42" s="274"/>
      <c r="O42" s="269"/>
      <c r="P42" s="235"/>
      <c r="Q42" s="236" t="str">
        <f t="shared" si="1"/>
        <v/>
      </c>
      <c r="R42" s="273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</row>
    <row r="43">
      <c r="A43" s="276" t="s">
        <v>57</v>
      </c>
      <c r="B43" s="239"/>
      <c r="C43" s="240"/>
      <c r="D43" s="241"/>
      <c r="E43" s="271"/>
      <c r="F43" s="227"/>
      <c r="G43" s="277"/>
      <c r="H43" s="278"/>
      <c r="I43" s="265"/>
      <c r="J43" s="279" t="s">
        <v>57</v>
      </c>
      <c r="K43" s="245">
        <f t="shared" si="2"/>
        <v>41</v>
      </c>
      <c r="L43" s="266"/>
      <c r="M43" s="280"/>
      <c r="N43" s="281"/>
      <c r="O43" s="282"/>
      <c r="P43" s="283"/>
      <c r="Q43" s="284" t="str">
        <f t="shared" si="1"/>
        <v/>
      </c>
      <c r="R43" s="28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</row>
    <row r="44">
      <c r="A44" s="115"/>
      <c r="B44" s="286"/>
      <c r="C44" s="287"/>
      <c r="D44" s="287"/>
      <c r="E44" s="287"/>
      <c r="F44" s="287"/>
      <c r="G44" s="122"/>
      <c r="H44" s="265"/>
      <c r="I44" s="265"/>
      <c r="J44" s="115"/>
      <c r="K44" s="288"/>
      <c r="L44" s="265"/>
      <c r="M44" s="265"/>
      <c r="N44" s="289"/>
      <c r="O44" s="290"/>
      <c r="P44" s="288"/>
      <c r="Q44" s="291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</row>
    <row r="45">
      <c r="A45" s="221" t="s">
        <v>58</v>
      </c>
      <c r="B45" s="222" t="s">
        <v>114</v>
      </c>
      <c r="C45" s="223">
        <v>44229.0</v>
      </c>
      <c r="D45" s="224" t="s">
        <v>239</v>
      </c>
      <c r="E45" s="292">
        <v>70.0</v>
      </c>
      <c r="F45" s="226" t="s">
        <v>14</v>
      </c>
      <c r="G45" s="226" t="s">
        <v>16</v>
      </c>
      <c r="H45" s="228"/>
      <c r="I45" s="265"/>
      <c r="J45" s="230" t="s">
        <v>58</v>
      </c>
      <c r="K45" s="293">
        <f>K43+1</f>
        <v>42</v>
      </c>
      <c r="L45" s="226" t="s">
        <v>102</v>
      </c>
      <c r="M45" s="294">
        <v>44233.0</v>
      </c>
      <c r="N45" s="295" t="s">
        <v>133</v>
      </c>
      <c r="O45" s="296">
        <v>100.0</v>
      </c>
      <c r="P45" s="297">
        <v>1.0</v>
      </c>
      <c r="Q45" s="298">
        <f t="shared" ref="Q45:Q85" si="3">iferror($O45/$P45,"")</f>
        <v>100</v>
      </c>
      <c r="R45" s="299" t="s">
        <v>27</v>
      </c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</row>
    <row r="46">
      <c r="A46" s="238" t="s">
        <v>58</v>
      </c>
      <c r="B46" s="239" t="s">
        <v>120</v>
      </c>
      <c r="C46" s="240">
        <v>44231.0</v>
      </c>
      <c r="D46" s="241" t="s">
        <v>240</v>
      </c>
      <c r="E46" s="300">
        <v>180.0</v>
      </c>
      <c r="F46" s="227" t="s">
        <v>14</v>
      </c>
      <c r="G46" s="227" t="s">
        <v>16</v>
      </c>
      <c r="H46" s="242"/>
      <c r="I46" s="265"/>
      <c r="J46" s="244" t="s">
        <v>58</v>
      </c>
      <c r="K46" s="245">
        <f t="shared" ref="K46:K85" si="4">K45+1</f>
        <v>43</v>
      </c>
      <c r="L46" s="246" t="s">
        <v>85</v>
      </c>
      <c r="M46" s="247">
        <v>44235.0</v>
      </c>
      <c r="N46" s="248" t="s">
        <v>241</v>
      </c>
      <c r="O46" s="249">
        <v>82.9</v>
      </c>
      <c r="P46" s="250">
        <v>1.0</v>
      </c>
      <c r="Q46" s="236">
        <f t="shared" si="3"/>
        <v>82.9</v>
      </c>
      <c r="R46" s="237" t="s">
        <v>27</v>
      </c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</row>
    <row r="47">
      <c r="A47" s="238" t="s">
        <v>58</v>
      </c>
      <c r="B47" s="239" t="s">
        <v>98</v>
      </c>
      <c r="C47" s="240">
        <v>44233.0</v>
      </c>
      <c r="D47" s="241" t="s">
        <v>242</v>
      </c>
      <c r="E47" s="300">
        <v>2.3</v>
      </c>
      <c r="F47" s="227" t="s">
        <v>14</v>
      </c>
      <c r="G47" s="227" t="s">
        <v>16</v>
      </c>
      <c r="H47" s="253"/>
      <c r="I47" s="265"/>
      <c r="J47" s="244" t="s">
        <v>58</v>
      </c>
      <c r="K47" s="245">
        <f t="shared" si="4"/>
        <v>44</v>
      </c>
      <c r="L47" s="246" t="s">
        <v>122</v>
      </c>
      <c r="M47" s="247">
        <v>44228.0</v>
      </c>
      <c r="N47" s="248" t="s">
        <v>243</v>
      </c>
      <c r="O47" s="249">
        <v>107.87</v>
      </c>
      <c r="P47" s="250">
        <v>1.0</v>
      </c>
      <c r="Q47" s="236">
        <f t="shared" si="3"/>
        <v>107.87</v>
      </c>
      <c r="R47" s="237" t="s">
        <v>20</v>
      </c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</row>
    <row r="48">
      <c r="A48" s="238" t="s">
        <v>58</v>
      </c>
      <c r="B48" s="239" t="s">
        <v>85</v>
      </c>
      <c r="C48" s="240">
        <v>44234.0</v>
      </c>
      <c r="D48" s="241" t="s">
        <v>238</v>
      </c>
      <c r="E48" s="300">
        <v>20.9</v>
      </c>
      <c r="F48" s="227" t="s">
        <v>14</v>
      </c>
      <c r="G48" s="227" t="s">
        <v>16</v>
      </c>
      <c r="H48" s="242"/>
      <c r="I48" s="265"/>
      <c r="J48" s="244" t="s">
        <v>58</v>
      </c>
      <c r="K48" s="245">
        <f t="shared" si="4"/>
        <v>45</v>
      </c>
      <c r="L48" s="246" t="s">
        <v>122</v>
      </c>
      <c r="M48" s="247">
        <v>44229.0</v>
      </c>
      <c r="N48" s="248" t="s">
        <v>244</v>
      </c>
      <c r="O48" s="249">
        <v>28.22</v>
      </c>
      <c r="P48" s="250">
        <v>1.0</v>
      </c>
      <c r="Q48" s="236">
        <f t="shared" si="3"/>
        <v>28.22</v>
      </c>
      <c r="R48" s="237" t="s">
        <v>20</v>
      </c>
      <c r="S48" s="115"/>
      <c r="T48" s="301"/>
      <c r="U48" s="115"/>
      <c r="V48" s="115"/>
      <c r="W48" s="115"/>
      <c r="X48" s="115"/>
      <c r="Y48" s="115"/>
      <c r="Z48" s="115"/>
      <c r="AA48" s="115"/>
      <c r="AB48" s="115"/>
      <c r="AC48" s="115"/>
    </row>
    <row r="49">
      <c r="A49" s="238" t="s">
        <v>58</v>
      </c>
      <c r="B49" s="239" t="s">
        <v>116</v>
      </c>
      <c r="C49" s="240">
        <v>44235.0</v>
      </c>
      <c r="D49" s="241" t="s">
        <v>116</v>
      </c>
      <c r="E49" s="300">
        <v>406.13</v>
      </c>
      <c r="F49" s="227" t="s">
        <v>14</v>
      </c>
      <c r="G49" s="227" t="s">
        <v>16</v>
      </c>
      <c r="H49" s="251" t="s">
        <v>17</v>
      </c>
      <c r="I49" s="265"/>
      <c r="J49" s="244" t="s">
        <v>58</v>
      </c>
      <c r="K49" s="245">
        <f t="shared" si="4"/>
        <v>46</v>
      </c>
      <c r="L49" s="246" t="s">
        <v>102</v>
      </c>
      <c r="M49" s="247">
        <v>44234.0</v>
      </c>
      <c r="N49" s="248" t="s">
        <v>133</v>
      </c>
      <c r="O49" s="249">
        <v>125.3</v>
      </c>
      <c r="P49" s="250">
        <v>1.0</v>
      </c>
      <c r="Q49" s="236">
        <f t="shared" si="3"/>
        <v>125.3</v>
      </c>
      <c r="R49" s="237" t="s">
        <v>27</v>
      </c>
      <c r="S49" s="115"/>
      <c r="T49" s="301"/>
      <c r="U49" s="115"/>
      <c r="V49" s="115"/>
      <c r="W49" s="115"/>
      <c r="X49" s="115"/>
      <c r="Y49" s="115"/>
      <c r="Z49" s="115"/>
      <c r="AA49" s="115"/>
      <c r="AB49" s="115"/>
      <c r="AC49" s="115"/>
    </row>
    <row r="50">
      <c r="A50" s="238" t="s">
        <v>58</v>
      </c>
      <c r="B50" s="239" t="s">
        <v>91</v>
      </c>
      <c r="C50" s="240">
        <v>44236.0</v>
      </c>
      <c r="D50" s="241" t="s">
        <v>135</v>
      </c>
      <c r="E50" s="300">
        <v>75.9</v>
      </c>
      <c r="F50" s="227" t="s">
        <v>14</v>
      </c>
      <c r="G50" s="227" t="s">
        <v>16</v>
      </c>
      <c r="H50" s="242"/>
      <c r="I50" s="265"/>
      <c r="J50" s="244" t="s">
        <v>58</v>
      </c>
      <c r="K50" s="245">
        <f t="shared" si="4"/>
        <v>47</v>
      </c>
      <c r="L50" s="246" t="s">
        <v>122</v>
      </c>
      <c r="M50" s="247">
        <v>44236.0</v>
      </c>
      <c r="N50" s="248" t="s">
        <v>244</v>
      </c>
      <c r="O50" s="249">
        <v>127.46</v>
      </c>
      <c r="P50" s="250">
        <v>1.0</v>
      </c>
      <c r="Q50" s="236">
        <f t="shared" si="3"/>
        <v>127.46</v>
      </c>
      <c r="R50" s="237" t="s">
        <v>20</v>
      </c>
      <c r="S50" s="115"/>
      <c r="T50" s="289"/>
      <c r="U50" s="115"/>
      <c r="V50" s="115"/>
      <c r="W50" s="115"/>
      <c r="X50" s="115"/>
      <c r="Y50" s="115"/>
      <c r="Z50" s="115"/>
      <c r="AA50" s="115"/>
      <c r="AB50" s="115"/>
      <c r="AC50" s="115"/>
    </row>
    <row r="51">
      <c r="A51" s="238" t="s">
        <v>58</v>
      </c>
      <c r="B51" s="239" t="s">
        <v>118</v>
      </c>
      <c r="C51" s="240">
        <v>44236.0</v>
      </c>
      <c r="D51" s="241" t="s">
        <v>245</v>
      </c>
      <c r="E51" s="300">
        <v>100.0</v>
      </c>
      <c r="F51" s="227" t="s">
        <v>24</v>
      </c>
      <c r="G51" s="227" t="s">
        <v>26</v>
      </c>
      <c r="H51" s="253"/>
      <c r="I51" s="265"/>
      <c r="J51" s="244" t="s">
        <v>58</v>
      </c>
      <c r="K51" s="245">
        <f t="shared" si="4"/>
        <v>48</v>
      </c>
      <c r="L51" s="246" t="s">
        <v>122</v>
      </c>
      <c r="M51" s="247">
        <v>44250.0</v>
      </c>
      <c r="N51" s="248" t="s">
        <v>246</v>
      </c>
      <c r="O51" s="249">
        <v>156.98</v>
      </c>
      <c r="P51" s="250">
        <v>1.0</v>
      </c>
      <c r="Q51" s="236">
        <f t="shared" si="3"/>
        <v>156.98</v>
      </c>
      <c r="R51" s="237" t="s">
        <v>20</v>
      </c>
      <c r="S51" s="115"/>
      <c r="T51" s="301"/>
      <c r="U51" s="115"/>
      <c r="V51" s="115"/>
      <c r="W51" s="115"/>
      <c r="X51" s="115"/>
      <c r="Y51" s="115"/>
      <c r="Z51" s="115"/>
      <c r="AA51" s="115"/>
      <c r="AB51" s="115"/>
      <c r="AC51" s="115"/>
    </row>
    <row r="52">
      <c r="A52" s="238" t="s">
        <v>58</v>
      </c>
      <c r="B52" s="239" t="s">
        <v>120</v>
      </c>
      <c r="C52" s="240">
        <v>44238.0</v>
      </c>
      <c r="D52" s="241" t="s">
        <v>247</v>
      </c>
      <c r="E52" s="300">
        <v>594.0</v>
      </c>
      <c r="F52" s="227" t="s">
        <v>24</v>
      </c>
      <c r="G52" s="227" t="s">
        <v>26</v>
      </c>
      <c r="H52" s="242"/>
      <c r="I52" s="265"/>
      <c r="J52" s="244" t="s">
        <v>58</v>
      </c>
      <c r="K52" s="245">
        <f t="shared" si="4"/>
        <v>49</v>
      </c>
      <c r="L52" s="246" t="s">
        <v>114</v>
      </c>
      <c r="M52" s="247">
        <v>44252.0</v>
      </c>
      <c r="N52" s="248" t="s">
        <v>248</v>
      </c>
      <c r="O52" s="249">
        <v>13.96</v>
      </c>
      <c r="P52" s="250">
        <v>1.0</v>
      </c>
      <c r="Q52" s="236">
        <f t="shared" si="3"/>
        <v>13.96</v>
      </c>
      <c r="R52" s="237" t="s">
        <v>20</v>
      </c>
      <c r="S52" s="115"/>
      <c r="T52" s="301"/>
      <c r="U52" s="302"/>
      <c r="V52" s="262"/>
      <c r="W52" s="122"/>
      <c r="X52" s="115"/>
      <c r="Y52" s="115"/>
      <c r="Z52" s="115"/>
      <c r="AA52" s="115"/>
      <c r="AB52" s="115"/>
      <c r="AC52" s="115"/>
    </row>
    <row r="53">
      <c r="A53" s="238" t="s">
        <v>58</v>
      </c>
      <c r="B53" s="239" t="s">
        <v>85</v>
      </c>
      <c r="C53" s="240">
        <v>44241.0</v>
      </c>
      <c r="D53" s="241" t="s">
        <v>249</v>
      </c>
      <c r="E53" s="300">
        <v>24.0</v>
      </c>
      <c r="F53" s="227" t="s">
        <v>14</v>
      </c>
      <c r="G53" s="227" t="s">
        <v>16</v>
      </c>
      <c r="H53" s="253"/>
      <c r="I53" s="265"/>
      <c r="J53" s="244" t="s">
        <v>58</v>
      </c>
      <c r="K53" s="245">
        <f t="shared" si="4"/>
        <v>50</v>
      </c>
      <c r="L53" s="246"/>
      <c r="M53" s="257"/>
      <c r="N53" s="258"/>
      <c r="O53" s="252"/>
      <c r="P53" s="259"/>
      <c r="Q53" s="236" t="str">
        <f t="shared" si="3"/>
        <v/>
      </c>
      <c r="R53" s="237"/>
      <c r="S53" s="115"/>
      <c r="T53" s="301"/>
      <c r="U53" s="302"/>
      <c r="V53" s="262"/>
      <c r="W53" s="122"/>
      <c r="X53" s="115"/>
      <c r="Y53" s="115"/>
      <c r="Z53" s="115"/>
      <c r="AA53" s="115"/>
      <c r="AB53" s="115"/>
      <c r="AC53" s="115"/>
    </row>
    <row r="54">
      <c r="A54" s="238" t="s">
        <v>58</v>
      </c>
      <c r="B54" s="239" t="s">
        <v>120</v>
      </c>
      <c r="C54" s="240">
        <v>44244.0</v>
      </c>
      <c r="D54" s="241" t="s">
        <v>248</v>
      </c>
      <c r="E54" s="300">
        <v>7.9</v>
      </c>
      <c r="F54" s="227" t="s">
        <v>14</v>
      </c>
      <c r="G54" s="227" t="s">
        <v>16</v>
      </c>
      <c r="H54" s="242"/>
      <c r="I54" s="265"/>
      <c r="J54" s="244" t="s">
        <v>58</v>
      </c>
      <c r="K54" s="245">
        <f t="shared" si="4"/>
        <v>51</v>
      </c>
      <c r="L54" s="256"/>
      <c r="M54" s="257"/>
      <c r="N54" s="258"/>
      <c r="O54" s="252"/>
      <c r="P54" s="259"/>
      <c r="Q54" s="236" t="str">
        <f t="shared" si="3"/>
        <v/>
      </c>
      <c r="R54" s="237"/>
      <c r="S54" s="115"/>
      <c r="T54" s="301"/>
      <c r="U54" s="302"/>
      <c r="V54" s="262"/>
      <c r="W54" s="122"/>
      <c r="X54" s="115"/>
      <c r="Y54" s="115"/>
      <c r="Z54" s="115"/>
      <c r="AA54" s="115"/>
      <c r="AB54" s="115"/>
      <c r="AC54" s="115"/>
    </row>
    <row r="55">
      <c r="A55" s="238" t="s">
        <v>58</v>
      </c>
      <c r="B55" s="239" t="s">
        <v>85</v>
      </c>
      <c r="C55" s="240">
        <v>44244.0</v>
      </c>
      <c r="D55" s="241" t="s">
        <v>237</v>
      </c>
      <c r="E55" s="300">
        <v>20.0</v>
      </c>
      <c r="F55" s="227" t="s">
        <v>14</v>
      </c>
      <c r="G55" s="227" t="s">
        <v>16</v>
      </c>
      <c r="H55" s="253"/>
      <c r="I55" s="265"/>
      <c r="J55" s="244" t="s">
        <v>58</v>
      </c>
      <c r="K55" s="245">
        <f t="shared" si="4"/>
        <v>52</v>
      </c>
      <c r="L55" s="256"/>
      <c r="M55" s="257"/>
      <c r="N55" s="258"/>
      <c r="O55" s="252"/>
      <c r="P55" s="259"/>
      <c r="Q55" s="236" t="str">
        <f t="shared" si="3"/>
        <v/>
      </c>
      <c r="R55" s="237"/>
      <c r="S55" s="115"/>
      <c r="T55" s="301"/>
      <c r="U55" s="302"/>
      <c r="V55" s="262"/>
      <c r="W55" s="122"/>
      <c r="X55" s="115"/>
      <c r="Y55" s="115"/>
      <c r="Z55" s="115"/>
      <c r="AA55" s="115"/>
      <c r="AB55" s="115"/>
      <c r="AC55" s="115"/>
    </row>
    <row r="56">
      <c r="A56" s="238" t="s">
        <v>58</v>
      </c>
      <c r="B56" s="239" t="s">
        <v>85</v>
      </c>
      <c r="C56" s="240">
        <v>44247.0</v>
      </c>
      <c r="D56" s="241" t="s">
        <v>250</v>
      </c>
      <c r="E56" s="300">
        <v>41.0</v>
      </c>
      <c r="F56" s="227" t="s">
        <v>14</v>
      </c>
      <c r="G56" s="227" t="s">
        <v>16</v>
      </c>
      <c r="H56" s="242"/>
      <c r="I56" s="265"/>
      <c r="J56" s="244" t="s">
        <v>58</v>
      </c>
      <c r="K56" s="245">
        <f t="shared" si="4"/>
        <v>53</v>
      </c>
      <c r="L56" s="256"/>
      <c r="M56" s="257"/>
      <c r="N56" s="258"/>
      <c r="O56" s="252"/>
      <c r="P56" s="259"/>
      <c r="Q56" s="236" t="str">
        <f t="shared" si="3"/>
        <v/>
      </c>
      <c r="R56" s="237"/>
      <c r="S56" s="115"/>
      <c r="T56" s="301"/>
      <c r="U56" s="302"/>
      <c r="V56" s="262"/>
      <c r="W56" s="122"/>
      <c r="X56" s="115"/>
      <c r="Y56" s="115"/>
      <c r="Z56" s="115"/>
      <c r="AA56" s="115"/>
      <c r="AB56" s="115"/>
      <c r="AC56" s="115"/>
    </row>
    <row r="57">
      <c r="A57" s="238" t="s">
        <v>58</v>
      </c>
      <c r="B57" s="239" t="s">
        <v>91</v>
      </c>
      <c r="C57" s="240">
        <v>44251.0</v>
      </c>
      <c r="D57" s="241" t="s">
        <v>144</v>
      </c>
      <c r="E57" s="300">
        <v>127.39</v>
      </c>
      <c r="F57" s="227" t="s">
        <v>14</v>
      </c>
      <c r="G57" s="227" t="s">
        <v>16</v>
      </c>
      <c r="H57" s="253"/>
      <c r="I57" s="265"/>
      <c r="J57" s="244" t="s">
        <v>58</v>
      </c>
      <c r="K57" s="245">
        <f t="shared" si="4"/>
        <v>54</v>
      </c>
      <c r="L57" s="256"/>
      <c r="M57" s="257"/>
      <c r="N57" s="258"/>
      <c r="O57" s="252"/>
      <c r="P57" s="259"/>
      <c r="Q57" s="236" t="str">
        <f t="shared" si="3"/>
        <v/>
      </c>
      <c r="R57" s="237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</row>
    <row r="58">
      <c r="A58" s="238" t="s">
        <v>58</v>
      </c>
      <c r="B58" s="239" t="s">
        <v>118</v>
      </c>
      <c r="C58" s="240">
        <v>44252.0</v>
      </c>
      <c r="D58" s="241" t="s">
        <v>251</v>
      </c>
      <c r="E58" s="300">
        <v>100.0</v>
      </c>
      <c r="F58" s="227" t="s">
        <v>24</v>
      </c>
      <c r="G58" s="227" t="s">
        <v>26</v>
      </c>
      <c r="H58" s="242"/>
      <c r="I58" s="265"/>
      <c r="J58" s="244" t="s">
        <v>58</v>
      </c>
      <c r="K58" s="245">
        <f t="shared" si="4"/>
        <v>55</v>
      </c>
      <c r="L58" s="256"/>
      <c r="M58" s="257"/>
      <c r="N58" s="258"/>
      <c r="O58" s="252"/>
      <c r="P58" s="259"/>
      <c r="Q58" s="236" t="str">
        <f t="shared" si="3"/>
        <v/>
      </c>
      <c r="R58" s="237"/>
      <c r="S58" s="115"/>
      <c r="T58" s="301"/>
      <c r="U58" s="302"/>
      <c r="V58" s="262"/>
      <c r="W58" s="122"/>
      <c r="X58" s="115"/>
      <c r="Y58" s="115"/>
      <c r="Z58" s="115"/>
      <c r="AA58" s="115"/>
      <c r="AB58" s="115"/>
      <c r="AC58" s="115"/>
    </row>
    <row r="59">
      <c r="A59" s="238" t="s">
        <v>58</v>
      </c>
      <c r="B59" s="239"/>
      <c r="C59" s="240"/>
      <c r="D59" s="241"/>
      <c r="E59" s="300"/>
      <c r="F59" s="227"/>
      <c r="G59" s="227"/>
      <c r="H59" s="253"/>
      <c r="I59" s="265"/>
      <c r="J59" s="244" t="s">
        <v>58</v>
      </c>
      <c r="K59" s="245">
        <f t="shared" si="4"/>
        <v>56</v>
      </c>
      <c r="L59" s="256"/>
      <c r="M59" s="257"/>
      <c r="N59" s="258"/>
      <c r="O59" s="252"/>
      <c r="P59" s="259"/>
      <c r="Q59" s="236" t="str">
        <f t="shared" si="3"/>
        <v/>
      </c>
      <c r="R59" s="237"/>
      <c r="S59" s="115"/>
      <c r="T59" s="301"/>
      <c r="U59" s="302"/>
      <c r="V59" s="262"/>
      <c r="W59" s="122"/>
      <c r="X59" s="115"/>
      <c r="Y59" s="115"/>
      <c r="Z59" s="115"/>
      <c r="AA59" s="115"/>
      <c r="AB59" s="115"/>
      <c r="AC59" s="115"/>
    </row>
    <row r="60">
      <c r="A60" s="238" t="s">
        <v>58</v>
      </c>
      <c r="B60" s="239"/>
      <c r="C60" s="240"/>
      <c r="D60" s="241"/>
      <c r="E60" s="300"/>
      <c r="F60" s="227"/>
      <c r="G60" s="227"/>
      <c r="H60" s="242"/>
      <c r="I60" s="265"/>
      <c r="J60" s="244" t="s">
        <v>58</v>
      </c>
      <c r="K60" s="245">
        <f t="shared" si="4"/>
        <v>57</v>
      </c>
      <c r="L60" s="256"/>
      <c r="M60" s="257"/>
      <c r="N60" s="258"/>
      <c r="O60" s="252"/>
      <c r="P60" s="259"/>
      <c r="Q60" s="236" t="str">
        <f t="shared" si="3"/>
        <v/>
      </c>
      <c r="R60" s="237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</row>
    <row r="61">
      <c r="A61" s="238" t="s">
        <v>58</v>
      </c>
      <c r="B61" s="239"/>
      <c r="C61" s="240"/>
      <c r="D61" s="241"/>
      <c r="E61" s="300"/>
      <c r="F61" s="227"/>
      <c r="G61" s="227"/>
      <c r="H61" s="253"/>
      <c r="I61" s="265"/>
      <c r="J61" s="244" t="s">
        <v>58</v>
      </c>
      <c r="K61" s="245">
        <f t="shared" si="4"/>
        <v>58</v>
      </c>
      <c r="L61" s="256"/>
      <c r="M61" s="257"/>
      <c r="N61" s="258"/>
      <c r="O61" s="252"/>
      <c r="P61" s="259"/>
      <c r="Q61" s="236" t="str">
        <f t="shared" si="3"/>
        <v/>
      </c>
      <c r="R61" s="237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</row>
    <row r="62">
      <c r="A62" s="238" t="s">
        <v>58</v>
      </c>
      <c r="B62" s="239"/>
      <c r="C62" s="240"/>
      <c r="D62" s="241"/>
      <c r="E62" s="300"/>
      <c r="F62" s="227"/>
      <c r="G62" s="227"/>
      <c r="H62" s="242"/>
      <c r="I62" s="265"/>
      <c r="J62" s="244" t="s">
        <v>58</v>
      </c>
      <c r="K62" s="245">
        <f t="shared" si="4"/>
        <v>59</v>
      </c>
      <c r="L62" s="256"/>
      <c r="M62" s="257"/>
      <c r="N62" s="258"/>
      <c r="O62" s="252"/>
      <c r="P62" s="259"/>
      <c r="Q62" s="236" t="str">
        <f t="shared" si="3"/>
        <v/>
      </c>
      <c r="R62" s="237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</row>
    <row r="63">
      <c r="A63" s="238" t="s">
        <v>58</v>
      </c>
      <c r="B63" s="239"/>
      <c r="C63" s="240"/>
      <c r="D63" s="241"/>
      <c r="E63" s="300"/>
      <c r="F63" s="227"/>
      <c r="G63" s="227"/>
      <c r="H63" s="253"/>
      <c r="I63" s="265"/>
      <c r="J63" s="244" t="s">
        <v>58</v>
      </c>
      <c r="K63" s="245">
        <f t="shared" si="4"/>
        <v>60</v>
      </c>
      <c r="L63" s="256"/>
      <c r="M63" s="257"/>
      <c r="N63" s="258"/>
      <c r="O63" s="252"/>
      <c r="P63" s="259"/>
      <c r="Q63" s="236" t="str">
        <f t="shared" si="3"/>
        <v/>
      </c>
      <c r="R63" s="237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</row>
    <row r="64">
      <c r="A64" s="238" t="s">
        <v>58</v>
      </c>
      <c r="B64" s="239"/>
      <c r="C64" s="240"/>
      <c r="D64" s="241"/>
      <c r="E64" s="300"/>
      <c r="F64" s="227"/>
      <c r="G64" s="227"/>
      <c r="H64" s="242"/>
      <c r="I64" s="265"/>
      <c r="J64" s="244" t="s">
        <v>58</v>
      </c>
      <c r="K64" s="245">
        <f t="shared" si="4"/>
        <v>61</v>
      </c>
      <c r="L64" s="256"/>
      <c r="M64" s="257"/>
      <c r="N64" s="258"/>
      <c r="O64" s="252"/>
      <c r="P64" s="259"/>
      <c r="Q64" s="236" t="str">
        <f t="shared" si="3"/>
        <v/>
      </c>
      <c r="R64" s="237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</row>
    <row r="65">
      <c r="A65" s="238" t="s">
        <v>58</v>
      </c>
      <c r="B65" s="239"/>
      <c r="C65" s="240"/>
      <c r="D65" s="241"/>
      <c r="E65" s="300"/>
      <c r="F65" s="227"/>
      <c r="G65" s="227"/>
      <c r="H65" s="253"/>
      <c r="I65" s="265"/>
      <c r="J65" s="244" t="s">
        <v>58</v>
      </c>
      <c r="K65" s="245">
        <f t="shared" si="4"/>
        <v>62</v>
      </c>
      <c r="L65" s="256"/>
      <c r="M65" s="257"/>
      <c r="N65" s="258"/>
      <c r="O65" s="252"/>
      <c r="P65" s="259"/>
      <c r="Q65" s="236" t="str">
        <f t="shared" si="3"/>
        <v/>
      </c>
      <c r="R65" s="237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</row>
    <row r="66">
      <c r="A66" s="238" t="s">
        <v>58</v>
      </c>
      <c r="B66" s="239"/>
      <c r="C66" s="240"/>
      <c r="D66" s="241"/>
      <c r="E66" s="300"/>
      <c r="F66" s="227"/>
      <c r="G66" s="227"/>
      <c r="H66" s="242"/>
      <c r="I66" s="265"/>
      <c r="J66" s="244" t="s">
        <v>58</v>
      </c>
      <c r="K66" s="245">
        <f t="shared" si="4"/>
        <v>63</v>
      </c>
      <c r="L66" s="256"/>
      <c r="M66" s="257"/>
      <c r="N66" s="258"/>
      <c r="O66" s="252"/>
      <c r="P66" s="259"/>
      <c r="Q66" s="236" t="str">
        <f t="shared" si="3"/>
        <v/>
      </c>
      <c r="R66" s="237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</row>
    <row r="67">
      <c r="A67" s="238" t="s">
        <v>58</v>
      </c>
      <c r="B67" s="239"/>
      <c r="C67" s="240"/>
      <c r="D67" s="241"/>
      <c r="E67" s="300"/>
      <c r="F67" s="227"/>
      <c r="G67" s="227"/>
      <c r="H67" s="253"/>
      <c r="I67" s="265"/>
      <c r="J67" s="244" t="s">
        <v>58</v>
      </c>
      <c r="K67" s="245">
        <f t="shared" si="4"/>
        <v>64</v>
      </c>
      <c r="L67" s="256"/>
      <c r="M67" s="257"/>
      <c r="N67" s="258"/>
      <c r="O67" s="252"/>
      <c r="P67" s="259"/>
      <c r="Q67" s="236" t="str">
        <f t="shared" si="3"/>
        <v/>
      </c>
      <c r="R67" s="237"/>
      <c r="S67" s="115"/>
      <c r="T67" s="303"/>
      <c r="U67" s="115"/>
      <c r="V67" s="115"/>
      <c r="W67" s="302"/>
      <c r="X67" s="115"/>
      <c r="Y67" s="115"/>
      <c r="Z67" s="115"/>
      <c r="AA67" s="115"/>
      <c r="AB67" s="115"/>
      <c r="AC67" s="115"/>
    </row>
    <row r="68">
      <c r="A68" s="238" t="s">
        <v>58</v>
      </c>
      <c r="B68" s="239"/>
      <c r="C68" s="240"/>
      <c r="D68" s="241"/>
      <c r="E68" s="300"/>
      <c r="F68" s="227"/>
      <c r="G68" s="304"/>
      <c r="H68" s="242"/>
      <c r="I68" s="265"/>
      <c r="J68" s="244" t="s">
        <v>58</v>
      </c>
      <c r="K68" s="245">
        <f t="shared" si="4"/>
        <v>65</v>
      </c>
      <c r="L68" s="256"/>
      <c r="M68" s="257"/>
      <c r="N68" s="258"/>
      <c r="O68" s="252"/>
      <c r="P68" s="259"/>
      <c r="Q68" s="236" t="str">
        <f t="shared" si="3"/>
        <v/>
      </c>
      <c r="R68" s="237"/>
      <c r="S68" s="115"/>
      <c r="T68" s="305"/>
      <c r="U68" s="115"/>
      <c r="V68" s="115"/>
      <c r="W68" s="302"/>
      <c r="X68" s="115"/>
      <c r="Y68" s="115"/>
      <c r="Z68" s="115"/>
      <c r="AA68" s="115"/>
      <c r="AB68" s="115"/>
      <c r="AC68" s="115"/>
    </row>
    <row r="69">
      <c r="A69" s="238" t="s">
        <v>58</v>
      </c>
      <c r="B69" s="239"/>
      <c r="C69" s="240"/>
      <c r="D69" s="241"/>
      <c r="E69" s="300"/>
      <c r="F69" s="227"/>
      <c r="G69" s="227"/>
      <c r="H69" s="253"/>
      <c r="I69" s="265"/>
      <c r="J69" s="244" t="s">
        <v>58</v>
      </c>
      <c r="K69" s="245">
        <f t="shared" si="4"/>
        <v>66</v>
      </c>
      <c r="L69" s="266"/>
      <c r="M69" s="267"/>
      <c r="N69" s="268"/>
      <c r="O69" s="269"/>
      <c r="P69" s="270"/>
      <c r="Q69" s="236" t="str">
        <f t="shared" si="3"/>
        <v/>
      </c>
      <c r="R69" s="237"/>
      <c r="S69" s="115"/>
      <c r="T69" s="260"/>
      <c r="U69" s="115"/>
      <c r="V69" s="115"/>
      <c r="W69" s="115"/>
      <c r="X69" s="115"/>
      <c r="Y69" s="115"/>
      <c r="Z69" s="115"/>
      <c r="AA69" s="115"/>
      <c r="AB69" s="115"/>
      <c r="AC69" s="115"/>
    </row>
    <row r="70">
      <c r="A70" s="238" t="s">
        <v>58</v>
      </c>
      <c r="B70" s="239"/>
      <c r="C70" s="240"/>
      <c r="D70" s="241"/>
      <c r="E70" s="300"/>
      <c r="F70" s="227"/>
      <c r="G70" s="227"/>
      <c r="H70" s="242"/>
      <c r="I70" s="265"/>
      <c r="J70" s="244" t="s">
        <v>58</v>
      </c>
      <c r="K70" s="245">
        <f t="shared" si="4"/>
        <v>67</v>
      </c>
      <c r="L70" s="266"/>
      <c r="M70" s="267"/>
      <c r="N70" s="268"/>
      <c r="O70" s="269"/>
      <c r="P70" s="270"/>
      <c r="Q70" s="236" t="str">
        <f t="shared" si="3"/>
        <v/>
      </c>
      <c r="R70" s="237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</row>
    <row r="71">
      <c r="A71" s="238" t="s">
        <v>58</v>
      </c>
      <c r="B71" s="239"/>
      <c r="C71" s="240"/>
      <c r="D71" s="241"/>
      <c r="E71" s="300"/>
      <c r="F71" s="227"/>
      <c r="G71" s="227"/>
      <c r="H71" s="253"/>
      <c r="I71" s="265"/>
      <c r="J71" s="244" t="s">
        <v>58</v>
      </c>
      <c r="K71" s="245">
        <f t="shared" si="4"/>
        <v>68</v>
      </c>
      <c r="L71" s="266"/>
      <c r="M71" s="267"/>
      <c r="N71" s="268"/>
      <c r="O71" s="269"/>
      <c r="P71" s="270"/>
      <c r="Q71" s="236" t="str">
        <f t="shared" si="3"/>
        <v/>
      </c>
      <c r="R71" s="237"/>
      <c r="S71" s="115"/>
      <c r="T71" s="261"/>
      <c r="U71" s="115"/>
      <c r="V71" s="115"/>
      <c r="W71" s="115"/>
      <c r="X71" s="115"/>
      <c r="Y71" s="115"/>
      <c r="Z71" s="115"/>
      <c r="AA71" s="115"/>
      <c r="AB71" s="115"/>
      <c r="AC71" s="115"/>
    </row>
    <row r="72">
      <c r="A72" s="238" t="s">
        <v>58</v>
      </c>
      <c r="B72" s="239"/>
      <c r="C72" s="240"/>
      <c r="D72" s="241"/>
      <c r="E72" s="300"/>
      <c r="F72" s="227"/>
      <c r="G72" s="227"/>
      <c r="H72" s="242"/>
      <c r="I72" s="265"/>
      <c r="J72" s="244" t="s">
        <v>58</v>
      </c>
      <c r="K72" s="245">
        <f t="shared" si="4"/>
        <v>69</v>
      </c>
      <c r="L72" s="266"/>
      <c r="M72" s="267"/>
      <c r="N72" s="268"/>
      <c r="O72" s="269"/>
      <c r="P72" s="270"/>
      <c r="Q72" s="236" t="str">
        <f t="shared" si="3"/>
        <v/>
      </c>
      <c r="R72" s="237"/>
      <c r="S72" s="115"/>
      <c r="T72" s="261"/>
      <c r="U72" s="115"/>
      <c r="V72" s="115"/>
      <c r="W72" s="115"/>
      <c r="X72" s="115"/>
      <c r="Y72" s="115"/>
      <c r="Z72" s="115"/>
      <c r="AA72" s="115"/>
      <c r="AB72" s="115"/>
      <c r="AC72" s="115"/>
    </row>
    <row r="73">
      <c r="A73" s="238" t="s">
        <v>58</v>
      </c>
      <c r="B73" s="239"/>
      <c r="C73" s="240"/>
      <c r="D73" s="241"/>
      <c r="E73" s="300"/>
      <c r="F73" s="227"/>
      <c r="G73" s="227"/>
      <c r="H73" s="253"/>
      <c r="I73" s="265"/>
      <c r="J73" s="244" t="s">
        <v>58</v>
      </c>
      <c r="K73" s="245">
        <f t="shared" si="4"/>
        <v>70</v>
      </c>
      <c r="L73" s="266"/>
      <c r="M73" s="267"/>
      <c r="N73" s="268"/>
      <c r="O73" s="269"/>
      <c r="P73" s="270"/>
      <c r="Q73" s="236" t="str">
        <f t="shared" si="3"/>
        <v/>
      </c>
      <c r="R73" s="237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</row>
    <row r="74">
      <c r="A74" s="238" t="s">
        <v>58</v>
      </c>
      <c r="B74" s="239"/>
      <c r="C74" s="240"/>
      <c r="D74" s="241"/>
      <c r="E74" s="300"/>
      <c r="F74" s="227"/>
      <c r="G74" s="227"/>
      <c r="H74" s="242"/>
      <c r="I74" s="265"/>
      <c r="J74" s="244" t="s">
        <v>58</v>
      </c>
      <c r="K74" s="245">
        <f t="shared" si="4"/>
        <v>71</v>
      </c>
      <c r="L74" s="266"/>
      <c r="M74" s="267"/>
      <c r="N74" s="268"/>
      <c r="O74" s="269"/>
      <c r="P74" s="270"/>
      <c r="Q74" s="236" t="str">
        <f t="shared" si="3"/>
        <v/>
      </c>
      <c r="R74" s="237"/>
      <c r="S74" s="115"/>
      <c r="T74" s="261"/>
      <c r="U74" s="115"/>
      <c r="V74" s="115"/>
      <c r="W74" s="115"/>
      <c r="X74" s="115"/>
      <c r="Y74" s="115"/>
      <c r="Z74" s="115"/>
      <c r="AA74" s="115"/>
      <c r="AB74" s="115"/>
      <c r="AC74" s="115"/>
    </row>
    <row r="75">
      <c r="A75" s="238" t="s">
        <v>58</v>
      </c>
      <c r="B75" s="239"/>
      <c r="C75" s="240"/>
      <c r="D75" s="241"/>
      <c r="E75" s="300"/>
      <c r="F75" s="227"/>
      <c r="G75" s="227"/>
      <c r="H75" s="253"/>
      <c r="I75" s="265"/>
      <c r="J75" s="244" t="s">
        <v>58</v>
      </c>
      <c r="K75" s="245">
        <f t="shared" si="4"/>
        <v>72</v>
      </c>
      <c r="L75" s="266"/>
      <c r="M75" s="267"/>
      <c r="N75" s="268"/>
      <c r="O75" s="269"/>
      <c r="P75" s="270"/>
      <c r="Q75" s="236" t="str">
        <f t="shared" si="3"/>
        <v/>
      </c>
      <c r="R75" s="273"/>
      <c r="S75" s="115"/>
      <c r="T75" s="261"/>
      <c r="U75" s="115"/>
      <c r="V75" s="115"/>
      <c r="W75" s="115"/>
      <c r="X75" s="115"/>
      <c r="Y75" s="115"/>
      <c r="Z75" s="115"/>
      <c r="AA75" s="115"/>
      <c r="AB75" s="115"/>
      <c r="AC75" s="115"/>
    </row>
    <row r="76">
      <c r="A76" s="238" t="s">
        <v>58</v>
      </c>
      <c r="B76" s="239"/>
      <c r="C76" s="240"/>
      <c r="D76" s="241"/>
      <c r="E76" s="300"/>
      <c r="F76" s="227"/>
      <c r="G76" s="227"/>
      <c r="H76" s="242"/>
      <c r="I76" s="265"/>
      <c r="J76" s="244" t="s">
        <v>58</v>
      </c>
      <c r="K76" s="245">
        <f t="shared" si="4"/>
        <v>73</v>
      </c>
      <c r="L76" s="266"/>
      <c r="M76" s="267"/>
      <c r="N76" s="227"/>
      <c r="O76" s="234"/>
      <c r="P76" s="235"/>
      <c r="Q76" s="236" t="str">
        <f t="shared" si="3"/>
        <v/>
      </c>
      <c r="R76" s="273"/>
      <c r="S76" s="115"/>
      <c r="T76" s="261"/>
      <c r="U76" s="115"/>
      <c r="V76" s="115"/>
      <c r="W76" s="115"/>
      <c r="X76" s="115"/>
      <c r="Y76" s="115"/>
      <c r="Z76" s="115"/>
      <c r="AA76" s="115"/>
      <c r="AB76" s="115"/>
      <c r="AC76" s="115"/>
    </row>
    <row r="77">
      <c r="A77" s="238" t="s">
        <v>58</v>
      </c>
      <c r="B77" s="239"/>
      <c r="C77" s="240"/>
      <c r="D77" s="241"/>
      <c r="E77" s="300"/>
      <c r="F77" s="227"/>
      <c r="G77" s="227"/>
      <c r="H77" s="253"/>
      <c r="I77" s="265"/>
      <c r="J77" s="244" t="s">
        <v>58</v>
      </c>
      <c r="K77" s="245">
        <f t="shared" si="4"/>
        <v>74</v>
      </c>
      <c r="L77" s="266"/>
      <c r="M77" s="267"/>
      <c r="N77" s="227"/>
      <c r="O77" s="234"/>
      <c r="P77" s="235"/>
      <c r="Q77" s="236" t="str">
        <f t="shared" si="3"/>
        <v/>
      </c>
      <c r="R77" s="273"/>
      <c r="S77" s="115"/>
      <c r="T77" s="261"/>
      <c r="U77" s="115"/>
      <c r="V77" s="115"/>
      <c r="W77" s="115"/>
      <c r="X77" s="115"/>
      <c r="Y77" s="115"/>
      <c r="Z77" s="115"/>
      <c r="AA77" s="115"/>
      <c r="AB77" s="115"/>
      <c r="AC77" s="115"/>
    </row>
    <row r="78">
      <c r="A78" s="238" t="s">
        <v>58</v>
      </c>
      <c r="B78" s="239"/>
      <c r="C78" s="240"/>
      <c r="D78" s="241"/>
      <c r="E78" s="300"/>
      <c r="F78" s="227"/>
      <c r="G78" s="227"/>
      <c r="H78" s="242"/>
      <c r="I78" s="265"/>
      <c r="J78" s="244" t="s">
        <v>58</v>
      </c>
      <c r="K78" s="245">
        <f t="shared" si="4"/>
        <v>75</v>
      </c>
      <c r="L78" s="266"/>
      <c r="M78" s="267"/>
      <c r="N78" s="274"/>
      <c r="O78" s="234"/>
      <c r="P78" s="235"/>
      <c r="Q78" s="236" t="str">
        <f t="shared" si="3"/>
        <v/>
      </c>
      <c r="R78" s="273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</row>
    <row r="79">
      <c r="A79" s="238" t="s">
        <v>58</v>
      </c>
      <c r="B79" s="239"/>
      <c r="C79" s="240"/>
      <c r="D79" s="241"/>
      <c r="E79" s="300"/>
      <c r="F79" s="227"/>
      <c r="G79" s="227"/>
      <c r="H79" s="253"/>
      <c r="I79" s="265"/>
      <c r="J79" s="244" t="s">
        <v>58</v>
      </c>
      <c r="K79" s="245">
        <f t="shared" si="4"/>
        <v>76</v>
      </c>
      <c r="L79" s="266"/>
      <c r="M79" s="267"/>
      <c r="N79" s="274"/>
      <c r="O79" s="234"/>
      <c r="P79" s="235"/>
      <c r="Q79" s="236" t="str">
        <f t="shared" si="3"/>
        <v/>
      </c>
      <c r="R79" s="273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</row>
    <row r="80">
      <c r="A80" s="238" t="s">
        <v>58</v>
      </c>
      <c r="B80" s="239"/>
      <c r="C80" s="240"/>
      <c r="D80" s="241"/>
      <c r="E80" s="300"/>
      <c r="F80" s="227"/>
      <c r="G80" s="227"/>
      <c r="H80" s="242"/>
      <c r="I80" s="265"/>
      <c r="J80" s="244" t="s">
        <v>58</v>
      </c>
      <c r="K80" s="245">
        <f t="shared" si="4"/>
        <v>77</v>
      </c>
      <c r="L80" s="266"/>
      <c r="M80" s="267"/>
      <c r="N80" s="274"/>
      <c r="O80" s="234"/>
      <c r="P80" s="235"/>
      <c r="Q80" s="236" t="str">
        <f t="shared" si="3"/>
        <v/>
      </c>
      <c r="R80" s="273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</row>
    <row r="81">
      <c r="A81" s="238" t="s">
        <v>58</v>
      </c>
      <c r="B81" s="239"/>
      <c r="C81" s="240"/>
      <c r="D81" s="241"/>
      <c r="E81" s="300"/>
      <c r="F81" s="227"/>
      <c r="G81" s="227"/>
      <c r="H81" s="253"/>
      <c r="I81" s="265"/>
      <c r="J81" s="244" t="s">
        <v>58</v>
      </c>
      <c r="K81" s="245">
        <f t="shared" si="4"/>
        <v>78</v>
      </c>
      <c r="L81" s="266"/>
      <c r="M81" s="267"/>
      <c r="N81" s="275"/>
      <c r="O81" s="269"/>
      <c r="P81" s="270"/>
      <c r="Q81" s="236" t="str">
        <f t="shared" si="3"/>
        <v/>
      </c>
      <c r="R81" s="273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</row>
    <row r="82">
      <c r="A82" s="238" t="s">
        <v>58</v>
      </c>
      <c r="B82" s="239"/>
      <c r="C82" s="240"/>
      <c r="D82" s="241"/>
      <c r="E82" s="300"/>
      <c r="F82" s="227"/>
      <c r="G82" s="227"/>
      <c r="H82" s="242"/>
      <c r="I82" s="265"/>
      <c r="J82" s="244" t="s">
        <v>58</v>
      </c>
      <c r="K82" s="245">
        <f t="shared" si="4"/>
        <v>79</v>
      </c>
      <c r="L82" s="266"/>
      <c r="M82" s="267"/>
      <c r="N82" s="275"/>
      <c r="O82" s="269"/>
      <c r="P82" s="270"/>
      <c r="Q82" s="236" t="str">
        <f t="shared" si="3"/>
        <v/>
      </c>
      <c r="R82" s="273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</row>
    <row r="83">
      <c r="A83" s="238" t="s">
        <v>58</v>
      </c>
      <c r="B83" s="239"/>
      <c r="C83" s="240"/>
      <c r="D83" s="241"/>
      <c r="E83" s="300"/>
      <c r="F83" s="227"/>
      <c r="G83" s="227"/>
      <c r="H83" s="253"/>
      <c r="I83" s="265"/>
      <c r="J83" s="244" t="s">
        <v>58</v>
      </c>
      <c r="K83" s="245">
        <f t="shared" si="4"/>
        <v>80</v>
      </c>
      <c r="L83" s="266"/>
      <c r="M83" s="267"/>
      <c r="N83" s="275"/>
      <c r="O83" s="269"/>
      <c r="P83" s="270"/>
      <c r="Q83" s="236" t="str">
        <f t="shared" si="3"/>
        <v/>
      </c>
      <c r="R83" s="273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</row>
    <row r="84">
      <c r="A84" s="238" t="s">
        <v>58</v>
      </c>
      <c r="B84" s="239"/>
      <c r="C84" s="240"/>
      <c r="D84" s="241"/>
      <c r="E84" s="300"/>
      <c r="F84" s="227"/>
      <c r="G84" s="227"/>
      <c r="H84" s="242"/>
      <c r="I84" s="265"/>
      <c r="J84" s="244" t="s">
        <v>58</v>
      </c>
      <c r="K84" s="245">
        <f t="shared" si="4"/>
        <v>81</v>
      </c>
      <c r="L84" s="266"/>
      <c r="M84" s="267"/>
      <c r="N84" s="274"/>
      <c r="O84" s="269"/>
      <c r="P84" s="235"/>
      <c r="Q84" s="236" t="str">
        <f t="shared" si="3"/>
        <v/>
      </c>
      <c r="R84" s="273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</row>
    <row r="85">
      <c r="A85" s="276" t="s">
        <v>58</v>
      </c>
      <c r="B85" s="306"/>
      <c r="C85" s="307"/>
      <c r="D85" s="308"/>
      <c r="E85" s="309"/>
      <c r="F85" s="277"/>
      <c r="G85" s="277"/>
      <c r="H85" s="278"/>
      <c r="I85" s="265"/>
      <c r="J85" s="279" t="s">
        <v>58</v>
      </c>
      <c r="K85" s="310">
        <f t="shared" si="4"/>
        <v>82</v>
      </c>
      <c r="L85" s="311"/>
      <c r="M85" s="280"/>
      <c r="N85" s="281"/>
      <c r="O85" s="282"/>
      <c r="P85" s="283"/>
      <c r="Q85" s="284" t="str">
        <f t="shared" si="3"/>
        <v/>
      </c>
      <c r="R85" s="28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</row>
    <row r="86">
      <c r="A86" s="115"/>
      <c r="B86" s="312"/>
      <c r="C86" s="313"/>
      <c r="D86" s="314"/>
      <c r="E86" s="315"/>
      <c r="F86" s="122"/>
      <c r="G86" s="122"/>
      <c r="H86" s="265"/>
      <c r="I86" s="265"/>
      <c r="J86" s="115"/>
      <c r="K86" s="288"/>
      <c r="L86" s="265"/>
      <c r="M86" s="265"/>
      <c r="N86" s="115"/>
      <c r="O86" s="290"/>
      <c r="P86" s="316"/>
      <c r="Q86" s="290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</row>
    <row r="87">
      <c r="A87" s="221" t="s">
        <v>59</v>
      </c>
      <c r="B87" s="222" t="s">
        <v>91</v>
      </c>
      <c r="C87" s="223">
        <v>44260.0</v>
      </c>
      <c r="D87" s="224" t="s">
        <v>135</v>
      </c>
      <c r="E87" s="292">
        <v>75.9</v>
      </c>
      <c r="F87" s="226" t="s">
        <v>30</v>
      </c>
      <c r="G87" s="226" t="s">
        <v>31</v>
      </c>
      <c r="H87" s="228"/>
      <c r="I87" s="265"/>
      <c r="J87" s="230" t="s">
        <v>59</v>
      </c>
      <c r="K87" s="293">
        <f>K85+1</f>
        <v>83</v>
      </c>
      <c r="L87" s="226" t="s">
        <v>118</v>
      </c>
      <c r="M87" s="294">
        <v>44256.0</v>
      </c>
      <c r="N87" s="295" t="s">
        <v>252</v>
      </c>
      <c r="O87" s="296">
        <v>74.95</v>
      </c>
      <c r="P87" s="297">
        <v>1.0</v>
      </c>
      <c r="Q87" s="298">
        <f t="shared" ref="Q87:Q92" si="5">iferror($O87/$P87,"")</f>
        <v>74.95</v>
      </c>
      <c r="R87" s="299" t="s">
        <v>14</v>
      </c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</row>
    <row r="88">
      <c r="A88" s="238" t="s">
        <v>59</v>
      </c>
      <c r="B88" s="239" t="s">
        <v>118</v>
      </c>
      <c r="C88" s="240">
        <v>44259.0</v>
      </c>
      <c r="D88" s="241" t="s">
        <v>253</v>
      </c>
      <c r="E88" s="300">
        <v>60.0</v>
      </c>
      <c r="F88" s="227" t="s">
        <v>24</v>
      </c>
      <c r="G88" s="227" t="s">
        <v>26</v>
      </c>
      <c r="H88" s="242"/>
      <c r="I88" s="265"/>
      <c r="J88" s="244" t="s">
        <v>59</v>
      </c>
      <c r="K88" s="245">
        <f t="shared" ref="K88:K127" si="6">K87+1</f>
        <v>84</v>
      </c>
      <c r="L88" s="246" t="s">
        <v>118</v>
      </c>
      <c r="M88" s="247">
        <v>44256.0</v>
      </c>
      <c r="N88" s="248" t="s">
        <v>254</v>
      </c>
      <c r="O88" s="249">
        <v>15.0</v>
      </c>
      <c r="P88" s="250">
        <v>1.0</v>
      </c>
      <c r="Q88" s="236">
        <f t="shared" si="5"/>
        <v>15</v>
      </c>
      <c r="R88" s="237" t="s">
        <v>20</v>
      </c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</row>
    <row r="89">
      <c r="A89" s="238" t="s">
        <v>59</v>
      </c>
      <c r="B89" s="239" t="s">
        <v>116</v>
      </c>
      <c r="C89" s="240">
        <v>44263.0</v>
      </c>
      <c r="D89" s="241" t="s">
        <v>227</v>
      </c>
      <c r="E89" s="300">
        <v>506.0</v>
      </c>
      <c r="F89" s="227" t="s">
        <v>14</v>
      </c>
      <c r="G89" s="227" t="s">
        <v>16</v>
      </c>
      <c r="H89" s="251" t="s">
        <v>17</v>
      </c>
      <c r="I89" s="265"/>
      <c r="J89" s="244" t="s">
        <v>59</v>
      </c>
      <c r="K89" s="245">
        <f t="shared" si="6"/>
        <v>85</v>
      </c>
      <c r="L89" s="246"/>
      <c r="M89" s="247"/>
      <c r="N89" s="248"/>
      <c r="O89" s="249"/>
      <c r="P89" s="250"/>
      <c r="Q89" s="236" t="str">
        <f t="shared" si="5"/>
        <v/>
      </c>
      <c r="R89" s="237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</row>
    <row r="90">
      <c r="A90" s="238" t="s">
        <v>59</v>
      </c>
      <c r="B90" s="239" t="s">
        <v>85</v>
      </c>
      <c r="C90" s="240">
        <v>44265.0</v>
      </c>
      <c r="D90" s="241" t="s">
        <v>241</v>
      </c>
      <c r="E90" s="300">
        <v>103.07</v>
      </c>
      <c r="F90" s="227" t="s">
        <v>14</v>
      </c>
      <c r="G90" s="227" t="s">
        <v>16</v>
      </c>
      <c r="H90" s="242"/>
      <c r="I90" s="265"/>
      <c r="J90" s="244" t="s">
        <v>59</v>
      </c>
      <c r="K90" s="245">
        <f t="shared" si="6"/>
        <v>86</v>
      </c>
      <c r="L90" s="254"/>
      <c r="M90" s="247"/>
      <c r="N90" s="248"/>
      <c r="O90" s="249"/>
      <c r="P90" s="250"/>
      <c r="Q90" s="236" t="str">
        <f t="shared" si="5"/>
        <v/>
      </c>
      <c r="R90" s="237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</row>
    <row r="91">
      <c r="A91" s="238" t="s">
        <v>59</v>
      </c>
      <c r="B91" s="239" t="s">
        <v>95</v>
      </c>
      <c r="C91" s="240">
        <v>44267.0</v>
      </c>
      <c r="D91" s="241" t="s">
        <v>153</v>
      </c>
      <c r="E91" s="300">
        <v>600.0</v>
      </c>
      <c r="F91" s="227" t="s">
        <v>14</v>
      </c>
      <c r="G91" s="227" t="s">
        <v>19</v>
      </c>
      <c r="H91" s="253"/>
      <c r="I91" s="265"/>
      <c r="J91" s="244" t="s">
        <v>59</v>
      </c>
      <c r="K91" s="245">
        <f t="shared" si="6"/>
        <v>87</v>
      </c>
      <c r="L91" s="254"/>
      <c r="M91" s="247"/>
      <c r="N91" s="248"/>
      <c r="O91" s="249"/>
      <c r="P91" s="250"/>
      <c r="Q91" s="236" t="str">
        <f t="shared" si="5"/>
        <v/>
      </c>
      <c r="R91" s="237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</row>
    <row r="92">
      <c r="A92" s="238" t="s">
        <v>59</v>
      </c>
      <c r="B92" s="239" t="s">
        <v>85</v>
      </c>
      <c r="C92" s="240">
        <v>44267.0</v>
      </c>
      <c r="D92" s="241" t="s">
        <v>255</v>
      </c>
      <c r="E92" s="300">
        <v>17.19</v>
      </c>
      <c r="F92" s="227" t="s">
        <v>30</v>
      </c>
      <c r="G92" s="227" t="s">
        <v>31</v>
      </c>
      <c r="H92" s="242"/>
      <c r="I92" s="265"/>
      <c r="J92" s="244" t="s">
        <v>59</v>
      </c>
      <c r="K92" s="245">
        <f t="shared" si="6"/>
        <v>88</v>
      </c>
      <c r="L92" s="254"/>
      <c r="M92" s="247"/>
      <c r="N92" s="248"/>
      <c r="O92" s="249"/>
      <c r="P92" s="250"/>
      <c r="Q92" s="236" t="str">
        <f t="shared" si="5"/>
        <v/>
      </c>
      <c r="R92" s="237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</row>
    <row r="93">
      <c r="A93" s="238" t="s">
        <v>59</v>
      </c>
      <c r="B93" s="239" t="s">
        <v>118</v>
      </c>
      <c r="C93" s="240">
        <v>44270.0</v>
      </c>
      <c r="D93" s="241" t="s">
        <v>245</v>
      </c>
      <c r="E93" s="300">
        <v>100.0</v>
      </c>
      <c r="F93" s="227" t="s">
        <v>24</v>
      </c>
      <c r="G93" s="227" t="s">
        <v>26</v>
      </c>
      <c r="H93" s="253"/>
      <c r="I93" s="265"/>
      <c r="J93" s="244" t="s">
        <v>59</v>
      </c>
      <c r="K93" s="245">
        <f t="shared" si="6"/>
        <v>89</v>
      </c>
      <c r="L93" s="254"/>
      <c r="M93" s="247"/>
      <c r="N93" s="248"/>
      <c r="O93" s="249"/>
      <c r="P93" s="250"/>
      <c r="Q93" s="236"/>
      <c r="R93" s="237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</row>
    <row r="94">
      <c r="A94" s="238" t="s">
        <v>59</v>
      </c>
      <c r="B94" s="239" t="s">
        <v>118</v>
      </c>
      <c r="C94" s="240">
        <v>44277.0</v>
      </c>
      <c r="D94" s="241" t="s">
        <v>144</v>
      </c>
      <c r="E94" s="300">
        <v>161.85</v>
      </c>
      <c r="F94" s="227" t="s">
        <v>14</v>
      </c>
      <c r="G94" s="227" t="s">
        <v>16</v>
      </c>
      <c r="H94" s="242"/>
      <c r="I94" s="265"/>
      <c r="J94" s="244" t="s">
        <v>59</v>
      </c>
      <c r="K94" s="317">
        <f t="shared" si="6"/>
        <v>90</v>
      </c>
      <c r="L94" s="256"/>
      <c r="M94" s="257"/>
      <c r="N94" s="258"/>
      <c r="O94" s="252"/>
      <c r="P94" s="259"/>
      <c r="Q94" s="236" t="str">
        <f t="shared" ref="Q94:Q127" si="7">iferror($O94/$P94,"")</f>
        <v/>
      </c>
      <c r="R94" s="237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</row>
    <row r="95">
      <c r="A95" s="238" t="s">
        <v>59</v>
      </c>
      <c r="B95" s="239" t="s">
        <v>85</v>
      </c>
      <c r="C95" s="240">
        <v>44279.0</v>
      </c>
      <c r="D95" s="241" t="s">
        <v>182</v>
      </c>
      <c r="E95" s="300">
        <v>64.8</v>
      </c>
      <c r="F95" s="227" t="s">
        <v>14</v>
      </c>
      <c r="G95" s="227" t="s">
        <v>16</v>
      </c>
      <c r="H95" s="253"/>
      <c r="I95" s="265"/>
      <c r="J95" s="244" t="s">
        <v>59</v>
      </c>
      <c r="K95" s="317">
        <f t="shared" si="6"/>
        <v>91</v>
      </c>
      <c r="L95" s="256"/>
      <c r="M95" s="257"/>
      <c r="N95" s="258"/>
      <c r="O95" s="252"/>
      <c r="P95" s="259"/>
      <c r="Q95" s="236" t="str">
        <f t="shared" si="7"/>
        <v/>
      </c>
      <c r="R95" s="237"/>
      <c r="S95" s="115"/>
      <c r="T95" s="303"/>
      <c r="U95" s="115"/>
      <c r="V95" s="115"/>
      <c r="W95" s="302"/>
      <c r="X95" s="115"/>
      <c r="Y95" s="115"/>
      <c r="Z95" s="115"/>
      <c r="AA95" s="115"/>
      <c r="AB95" s="115"/>
      <c r="AC95" s="115"/>
    </row>
    <row r="96">
      <c r="A96" s="238" t="s">
        <v>59</v>
      </c>
      <c r="B96" s="239" t="s">
        <v>85</v>
      </c>
      <c r="C96" s="240">
        <v>44284.0</v>
      </c>
      <c r="D96" s="241" t="s">
        <v>238</v>
      </c>
      <c r="E96" s="300">
        <v>20.0</v>
      </c>
      <c r="F96" s="227" t="s">
        <v>14</v>
      </c>
      <c r="G96" s="227" t="s">
        <v>16</v>
      </c>
      <c r="H96" s="242"/>
      <c r="I96" s="265"/>
      <c r="J96" s="244" t="s">
        <v>59</v>
      </c>
      <c r="K96" s="317">
        <f t="shared" si="6"/>
        <v>92</v>
      </c>
      <c r="L96" s="256"/>
      <c r="M96" s="257"/>
      <c r="N96" s="258"/>
      <c r="O96" s="252"/>
      <c r="P96" s="259"/>
      <c r="Q96" s="236" t="str">
        <f t="shared" si="7"/>
        <v/>
      </c>
      <c r="R96" s="237"/>
      <c r="S96" s="115"/>
      <c r="T96" s="303"/>
      <c r="U96" s="115"/>
      <c r="V96" s="115"/>
      <c r="W96" s="302"/>
      <c r="X96" s="115"/>
      <c r="Y96" s="115"/>
      <c r="Z96" s="115"/>
      <c r="AA96" s="115"/>
      <c r="AB96" s="115"/>
      <c r="AC96" s="115"/>
    </row>
    <row r="97">
      <c r="A97" s="238" t="s">
        <v>59</v>
      </c>
      <c r="B97" s="239" t="s">
        <v>91</v>
      </c>
      <c r="C97" s="240">
        <v>44284.0</v>
      </c>
      <c r="D97" s="241" t="s">
        <v>256</v>
      </c>
      <c r="E97" s="300">
        <v>86.0</v>
      </c>
      <c r="F97" s="227" t="s">
        <v>14</v>
      </c>
      <c r="G97" s="227" t="s">
        <v>16</v>
      </c>
      <c r="H97" s="253"/>
      <c r="I97" s="265"/>
      <c r="J97" s="244" t="s">
        <v>59</v>
      </c>
      <c r="K97" s="317">
        <f t="shared" si="6"/>
        <v>93</v>
      </c>
      <c r="L97" s="256"/>
      <c r="M97" s="257"/>
      <c r="N97" s="258"/>
      <c r="O97" s="252"/>
      <c r="P97" s="259"/>
      <c r="Q97" s="236" t="str">
        <f t="shared" si="7"/>
        <v/>
      </c>
      <c r="R97" s="237"/>
      <c r="S97" s="115"/>
      <c r="T97" s="303"/>
      <c r="U97" s="115"/>
      <c r="V97" s="115"/>
      <c r="W97" s="302"/>
      <c r="X97" s="115"/>
      <c r="Y97" s="115"/>
      <c r="Z97" s="115"/>
      <c r="AA97" s="115"/>
      <c r="AB97" s="115"/>
      <c r="AC97" s="115"/>
    </row>
    <row r="98">
      <c r="A98" s="238" t="s">
        <v>59</v>
      </c>
      <c r="B98" s="239" t="s">
        <v>91</v>
      </c>
      <c r="C98" s="240">
        <v>44285.0</v>
      </c>
      <c r="D98" s="241" t="s">
        <v>146</v>
      </c>
      <c r="E98" s="300">
        <v>279.99</v>
      </c>
      <c r="F98" s="227" t="s">
        <v>14</v>
      </c>
      <c r="G98" s="227" t="s">
        <v>16</v>
      </c>
      <c r="H98" s="242"/>
      <c r="I98" s="265"/>
      <c r="J98" s="244" t="s">
        <v>59</v>
      </c>
      <c r="K98" s="317">
        <f t="shared" si="6"/>
        <v>94</v>
      </c>
      <c r="L98" s="256"/>
      <c r="M98" s="257"/>
      <c r="N98" s="258"/>
      <c r="O98" s="252"/>
      <c r="P98" s="259"/>
      <c r="Q98" s="236" t="str">
        <f t="shared" si="7"/>
        <v/>
      </c>
      <c r="R98" s="237"/>
      <c r="S98" s="115"/>
      <c r="T98" s="303"/>
      <c r="U98" s="115"/>
      <c r="V98" s="115"/>
      <c r="W98" s="302"/>
      <c r="X98" s="115"/>
      <c r="Y98" s="115"/>
      <c r="Z98" s="115"/>
      <c r="AA98" s="115"/>
      <c r="AB98" s="115"/>
      <c r="AC98" s="115"/>
    </row>
    <row r="99">
      <c r="A99" s="238" t="s">
        <v>59</v>
      </c>
      <c r="B99" s="239" t="s">
        <v>98</v>
      </c>
      <c r="C99" s="240">
        <v>44285.0</v>
      </c>
      <c r="D99" s="241" t="s">
        <v>255</v>
      </c>
      <c r="E99" s="300">
        <v>19.61</v>
      </c>
      <c r="F99" s="227" t="s">
        <v>14</v>
      </c>
      <c r="G99" s="227" t="s">
        <v>16</v>
      </c>
      <c r="H99" s="253"/>
      <c r="I99" s="265"/>
      <c r="J99" s="244" t="s">
        <v>59</v>
      </c>
      <c r="K99" s="317">
        <f t="shared" si="6"/>
        <v>95</v>
      </c>
      <c r="L99" s="256"/>
      <c r="M99" s="257"/>
      <c r="N99" s="258"/>
      <c r="O99" s="252"/>
      <c r="P99" s="259"/>
      <c r="Q99" s="236" t="str">
        <f t="shared" si="7"/>
        <v/>
      </c>
      <c r="R99" s="237"/>
      <c r="S99" s="115"/>
      <c r="T99" s="303"/>
      <c r="U99" s="115"/>
      <c r="V99" s="115"/>
      <c r="W99" s="302"/>
      <c r="X99" s="115"/>
      <c r="Y99" s="115"/>
      <c r="Z99" s="115"/>
      <c r="AA99" s="115"/>
      <c r="AB99" s="115"/>
      <c r="AC99" s="115"/>
    </row>
    <row r="100">
      <c r="A100" s="238" t="s">
        <v>59</v>
      </c>
      <c r="B100" s="239"/>
      <c r="C100" s="240"/>
      <c r="D100" s="241"/>
      <c r="E100" s="300"/>
      <c r="F100" s="227"/>
      <c r="G100" s="227"/>
      <c r="H100" s="242"/>
      <c r="I100" s="265"/>
      <c r="J100" s="244" t="s">
        <v>59</v>
      </c>
      <c r="K100" s="317">
        <f t="shared" si="6"/>
        <v>96</v>
      </c>
      <c r="L100" s="256"/>
      <c r="M100" s="257"/>
      <c r="N100" s="258"/>
      <c r="O100" s="252"/>
      <c r="P100" s="259"/>
      <c r="Q100" s="236" t="str">
        <f t="shared" si="7"/>
        <v/>
      </c>
      <c r="R100" s="237"/>
      <c r="S100" s="115"/>
      <c r="T100" s="303"/>
      <c r="U100" s="115"/>
      <c r="V100" s="115"/>
      <c r="W100" s="302"/>
      <c r="X100" s="115"/>
      <c r="Y100" s="115"/>
      <c r="Z100" s="115"/>
      <c r="AA100" s="115"/>
      <c r="AB100" s="115"/>
      <c r="AC100" s="115"/>
    </row>
    <row r="101">
      <c r="A101" s="238" t="s">
        <v>59</v>
      </c>
      <c r="B101" s="239"/>
      <c r="C101" s="240"/>
      <c r="D101" s="241"/>
      <c r="E101" s="300"/>
      <c r="F101" s="227"/>
      <c r="G101" s="227"/>
      <c r="H101" s="253"/>
      <c r="I101" s="265"/>
      <c r="J101" s="244" t="s">
        <v>59</v>
      </c>
      <c r="K101" s="317">
        <f t="shared" si="6"/>
        <v>97</v>
      </c>
      <c r="L101" s="256"/>
      <c r="M101" s="257"/>
      <c r="N101" s="258"/>
      <c r="O101" s="252"/>
      <c r="P101" s="259"/>
      <c r="Q101" s="236" t="str">
        <f t="shared" si="7"/>
        <v/>
      </c>
      <c r="R101" s="237"/>
      <c r="S101" s="115"/>
      <c r="T101" s="303"/>
      <c r="U101" s="115"/>
      <c r="V101" s="115"/>
      <c r="W101" s="302"/>
      <c r="X101" s="115"/>
      <c r="Y101" s="115"/>
      <c r="Z101" s="115"/>
      <c r="AA101" s="115"/>
      <c r="AB101" s="115"/>
      <c r="AC101" s="115"/>
    </row>
    <row r="102">
      <c r="A102" s="238" t="s">
        <v>59</v>
      </c>
      <c r="B102" s="239"/>
      <c r="C102" s="240"/>
      <c r="D102" s="241"/>
      <c r="E102" s="300"/>
      <c r="F102" s="227"/>
      <c r="G102" s="227"/>
      <c r="H102" s="242"/>
      <c r="I102" s="265"/>
      <c r="J102" s="244" t="s">
        <v>59</v>
      </c>
      <c r="K102" s="317">
        <f t="shared" si="6"/>
        <v>98</v>
      </c>
      <c r="L102" s="256"/>
      <c r="M102" s="257"/>
      <c r="N102" s="258"/>
      <c r="O102" s="252"/>
      <c r="P102" s="259"/>
      <c r="Q102" s="236" t="str">
        <f t="shared" si="7"/>
        <v/>
      </c>
      <c r="R102" s="237"/>
      <c r="S102" s="115"/>
      <c r="T102" s="305"/>
      <c r="U102" s="115"/>
      <c r="V102" s="115"/>
      <c r="W102" s="302"/>
      <c r="X102" s="115"/>
      <c r="Y102" s="115"/>
      <c r="Z102" s="115"/>
      <c r="AA102" s="115"/>
      <c r="AB102" s="115"/>
      <c r="AC102" s="115"/>
    </row>
    <row r="103">
      <c r="A103" s="238" t="s">
        <v>59</v>
      </c>
      <c r="B103" s="239"/>
      <c r="C103" s="240"/>
      <c r="D103" s="241"/>
      <c r="E103" s="300"/>
      <c r="F103" s="227"/>
      <c r="G103" s="227"/>
      <c r="H103" s="253"/>
      <c r="I103" s="265"/>
      <c r="J103" s="244" t="s">
        <v>59</v>
      </c>
      <c r="K103" s="317">
        <f t="shared" si="6"/>
        <v>99</v>
      </c>
      <c r="L103" s="256"/>
      <c r="M103" s="257"/>
      <c r="N103" s="258"/>
      <c r="O103" s="252"/>
      <c r="P103" s="259"/>
      <c r="Q103" s="236" t="str">
        <f t="shared" si="7"/>
        <v/>
      </c>
      <c r="R103" s="237"/>
      <c r="S103" s="115"/>
      <c r="T103" s="260"/>
      <c r="U103" s="115"/>
      <c r="V103" s="115"/>
      <c r="W103" s="115"/>
      <c r="X103" s="115"/>
      <c r="Y103" s="115"/>
      <c r="Z103" s="115"/>
      <c r="AA103" s="115"/>
      <c r="AB103" s="115"/>
      <c r="AC103" s="115"/>
    </row>
    <row r="104">
      <c r="A104" s="238" t="s">
        <v>59</v>
      </c>
      <c r="B104" s="239"/>
      <c r="C104" s="240"/>
      <c r="D104" s="241"/>
      <c r="E104" s="300"/>
      <c r="F104" s="227"/>
      <c r="G104" s="227"/>
      <c r="H104" s="242"/>
      <c r="I104" s="265"/>
      <c r="J104" s="244" t="s">
        <v>59</v>
      </c>
      <c r="K104" s="317">
        <f t="shared" si="6"/>
        <v>100</v>
      </c>
      <c r="L104" s="256"/>
      <c r="M104" s="257"/>
      <c r="N104" s="258"/>
      <c r="O104" s="252"/>
      <c r="P104" s="259"/>
      <c r="Q104" s="236" t="str">
        <f t="shared" si="7"/>
        <v/>
      </c>
      <c r="R104" s="237"/>
      <c r="S104" s="115"/>
      <c r="T104" s="261"/>
      <c r="U104" s="115"/>
      <c r="V104" s="115"/>
      <c r="W104" s="115"/>
      <c r="X104" s="115"/>
      <c r="Y104" s="115"/>
      <c r="Z104" s="115"/>
      <c r="AA104" s="115"/>
      <c r="AB104" s="115"/>
      <c r="AC104" s="115"/>
    </row>
    <row r="105">
      <c r="A105" s="238" t="s">
        <v>59</v>
      </c>
      <c r="B105" s="239"/>
      <c r="C105" s="240"/>
      <c r="D105" s="241"/>
      <c r="E105" s="300"/>
      <c r="F105" s="227"/>
      <c r="G105" s="227"/>
      <c r="H105" s="253"/>
      <c r="I105" s="265"/>
      <c r="J105" s="244" t="s">
        <v>59</v>
      </c>
      <c r="K105" s="317">
        <f t="shared" si="6"/>
        <v>101</v>
      </c>
      <c r="L105" s="256"/>
      <c r="M105" s="257"/>
      <c r="N105" s="258"/>
      <c r="O105" s="252"/>
      <c r="P105" s="259"/>
      <c r="Q105" s="236" t="str">
        <f t="shared" si="7"/>
        <v/>
      </c>
      <c r="R105" s="237"/>
      <c r="S105" s="115"/>
      <c r="T105" s="261"/>
      <c r="U105" s="115"/>
      <c r="V105" s="115"/>
      <c r="W105" s="115"/>
      <c r="X105" s="115"/>
      <c r="Y105" s="115"/>
      <c r="Z105" s="115"/>
      <c r="AA105" s="115"/>
      <c r="AB105" s="115"/>
      <c r="AC105" s="115"/>
    </row>
    <row r="106">
      <c r="A106" s="238" t="s">
        <v>59</v>
      </c>
      <c r="B106" s="239"/>
      <c r="C106" s="240"/>
      <c r="D106" s="241"/>
      <c r="E106" s="300"/>
      <c r="F106" s="227"/>
      <c r="G106" s="227"/>
      <c r="H106" s="272"/>
      <c r="I106" s="265"/>
      <c r="J106" s="244" t="s">
        <v>59</v>
      </c>
      <c r="K106" s="317">
        <f t="shared" si="6"/>
        <v>102</v>
      </c>
      <c r="L106" s="256"/>
      <c r="M106" s="257"/>
      <c r="N106" s="258"/>
      <c r="O106" s="252"/>
      <c r="P106" s="259"/>
      <c r="Q106" s="236" t="str">
        <f t="shared" si="7"/>
        <v/>
      </c>
      <c r="R106" s="237"/>
      <c r="S106" s="115"/>
      <c r="T106" s="261"/>
      <c r="U106" s="115"/>
      <c r="V106" s="115"/>
      <c r="W106" s="115"/>
      <c r="X106" s="115"/>
      <c r="Y106" s="115"/>
      <c r="Z106" s="115"/>
      <c r="AA106" s="115"/>
      <c r="AB106" s="115"/>
      <c r="AC106" s="115"/>
    </row>
    <row r="107">
      <c r="A107" s="238" t="s">
        <v>59</v>
      </c>
      <c r="B107" s="239"/>
      <c r="C107" s="240"/>
      <c r="D107" s="241"/>
      <c r="E107" s="318"/>
      <c r="F107" s="319"/>
      <c r="G107" s="320"/>
      <c r="H107" s="253"/>
      <c r="I107" s="265"/>
      <c r="J107" s="244" t="s">
        <v>59</v>
      </c>
      <c r="K107" s="317">
        <f t="shared" si="6"/>
        <v>103</v>
      </c>
      <c r="L107" s="256"/>
      <c r="M107" s="257"/>
      <c r="N107" s="258"/>
      <c r="O107" s="252"/>
      <c r="P107" s="259"/>
      <c r="Q107" s="236" t="str">
        <f t="shared" si="7"/>
        <v/>
      </c>
      <c r="R107" s="237"/>
      <c r="S107" s="115"/>
      <c r="T107" s="261"/>
      <c r="U107" s="115"/>
      <c r="V107" s="115"/>
      <c r="W107" s="115"/>
      <c r="X107" s="115"/>
      <c r="Y107" s="115"/>
      <c r="Z107" s="115"/>
      <c r="AA107" s="115"/>
      <c r="AB107" s="115"/>
      <c r="AC107" s="115"/>
    </row>
    <row r="108">
      <c r="A108" s="238" t="s">
        <v>59</v>
      </c>
      <c r="B108" s="239"/>
      <c r="C108" s="240"/>
      <c r="D108" s="241"/>
      <c r="E108" s="300"/>
      <c r="F108" s="227"/>
      <c r="G108" s="304"/>
      <c r="H108" s="242"/>
      <c r="I108" s="265"/>
      <c r="J108" s="244" t="s">
        <v>59</v>
      </c>
      <c r="K108" s="317">
        <f t="shared" si="6"/>
        <v>104</v>
      </c>
      <c r="L108" s="256"/>
      <c r="M108" s="257"/>
      <c r="N108" s="258"/>
      <c r="O108" s="252"/>
      <c r="P108" s="259"/>
      <c r="Q108" s="236" t="str">
        <f t="shared" si="7"/>
        <v/>
      </c>
      <c r="R108" s="237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</row>
    <row r="109">
      <c r="A109" s="238" t="s">
        <v>59</v>
      </c>
      <c r="B109" s="239"/>
      <c r="C109" s="240"/>
      <c r="D109" s="241"/>
      <c r="E109" s="300"/>
      <c r="F109" s="227"/>
      <c r="G109" s="304"/>
      <c r="H109" s="253"/>
      <c r="I109" s="265"/>
      <c r="J109" s="244" t="s">
        <v>59</v>
      </c>
      <c r="K109" s="317">
        <f t="shared" si="6"/>
        <v>105</v>
      </c>
      <c r="L109" s="256"/>
      <c r="M109" s="257"/>
      <c r="N109" s="258"/>
      <c r="O109" s="252"/>
      <c r="P109" s="259"/>
      <c r="Q109" s="236" t="str">
        <f t="shared" si="7"/>
        <v/>
      </c>
      <c r="R109" s="237"/>
      <c r="S109" s="115"/>
      <c r="T109" s="261"/>
      <c r="U109" s="115"/>
      <c r="V109" s="115"/>
      <c r="W109" s="115"/>
      <c r="X109" s="115"/>
      <c r="Y109" s="115"/>
      <c r="Z109" s="115"/>
      <c r="AA109" s="115"/>
      <c r="AB109" s="115"/>
      <c r="AC109" s="115"/>
    </row>
    <row r="110">
      <c r="A110" s="238" t="s">
        <v>59</v>
      </c>
      <c r="B110" s="239"/>
      <c r="C110" s="240"/>
      <c r="D110" s="241"/>
      <c r="E110" s="300"/>
      <c r="F110" s="227"/>
      <c r="G110" s="304"/>
      <c r="H110" s="242"/>
      <c r="I110" s="265"/>
      <c r="J110" s="244" t="s">
        <v>59</v>
      </c>
      <c r="K110" s="317">
        <f t="shared" si="6"/>
        <v>106</v>
      </c>
      <c r="L110" s="256"/>
      <c r="M110" s="257"/>
      <c r="N110" s="258"/>
      <c r="O110" s="252"/>
      <c r="P110" s="259"/>
      <c r="Q110" s="236" t="str">
        <f t="shared" si="7"/>
        <v/>
      </c>
      <c r="R110" s="237"/>
      <c r="S110" s="115"/>
      <c r="T110" s="261"/>
      <c r="U110" s="115"/>
      <c r="V110" s="115"/>
      <c r="W110" s="115"/>
      <c r="X110" s="115"/>
      <c r="Y110" s="115"/>
      <c r="Z110" s="115"/>
      <c r="AA110" s="115"/>
      <c r="AB110" s="115"/>
      <c r="AC110" s="115"/>
    </row>
    <row r="111">
      <c r="A111" s="238" t="s">
        <v>59</v>
      </c>
      <c r="B111" s="239"/>
      <c r="C111" s="240"/>
      <c r="D111" s="241"/>
      <c r="E111" s="300"/>
      <c r="F111" s="227"/>
      <c r="G111" s="227"/>
      <c r="H111" s="253"/>
      <c r="I111" s="265"/>
      <c r="J111" s="244" t="s">
        <v>59</v>
      </c>
      <c r="K111" s="321">
        <f t="shared" si="6"/>
        <v>107</v>
      </c>
      <c r="L111" s="266"/>
      <c r="M111" s="267"/>
      <c r="N111" s="268"/>
      <c r="O111" s="269"/>
      <c r="P111" s="270"/>
      <c r="Q111" s="236" t="str">
        <f t="shared" si="7"/>
        <v/>
      </c>
      <c r="R111" s="237"/>
      <c r="S111" s="115"/>
      <c r="T111" s="261"/>
      <c r="U111" s="115"/>
      <c r="V111" s="115"/>
      <c r="W111" s="115"/>
      <c r="X111" s="115"/>
      <c r="Y111" s="115"/>
      <c r="Z111" s="115"/>
      <c r="AA111" s="115"/>
      <c r="AB111" s="115"/>
      <c r="AC111" s="115"/>
    </row>
    <row r="112">
      <c r="A112" s="238" t="s">
        <v>59</v>
      </c>
      <c r="B112" s="239"/>
      <c r="C112" s="240"/>
      <c r="D112" s="241"/>
      <c r="E112" s="300"/>
      <c r="F112" s="227"/>
      <c r="G112" s="227"/>
      <c r="H112" s="242"/>
      <c r="I112" s="265"/>
      <c r="J112" s="244" t="s">
        <v>59</v>
      </c>
      <c r="K112" s="321">
        <f t="shared" si="6"/>
        <v>108</v>
      </c>
      <c r="L112" s="266"/>
      <c r="M112" s="267"/>
      <c r="N112" s="268"/>
      <c r="O112" s="269"/>
      <c r="P112" s="270"/>
      <c r="Q112" s="236" t="str">
        <f t="shared" si="7"/>
        <v/>
      </c>
      <c r="R112" s="237"/>
      <c r="S112" s="115"/>
      <c r="T112" s="261"/>
      <c r="U112" s="115"/>
      <c r="V112" s="115"/>
      <c r="W112" s="115"/>
      <c r="X112" s="115"/>
      <c r="Y112" s="115"/>
      <c r="Z112" s="115"/>
      <c r="AA112" s="115"/>
      <c r="AB112" s="115"/>
      <c r="AC112" s="115"/>
    </row>
    <row r="113">
      <c r="A113" s="238" t="s">
        <v>59</v>
      </c>
      <c r="B113" s="239"/>
      <c r="C113" s="240"/>
      <c r="D113" s="241"/>
      <c r="E113" s="300"/>
      <c r="F113" s="227"/>
      <c r="G113" s="227"/>
      <c r="H113" s="253"/>
      <c r="I113" s="265"/>
      <c r="J113" s="244" t="s">
        <v>59</v>
      </c>
      <c r="K113" s="321">
        <f t="shared" si="6"/>
        <v>109</v>
      </c>
      <c r="L113" s="266"/>
      <c r="M113" s="267"/>
      <c r="N113" s="268"/>
      <c r="O113" s="269"/>
      <c r="P113" s="270"/>
      <c r="Q113" s="236" t="str">
        <f t="shared" si="7"/>
        <v/>
      </c>
      <c r="R113" s="237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</row>
    <row r="114">
      <c r="A114" s="238" t="s">
        <v>59</v>
      </c>
      <c r="B114" s="239"/>
      <c r="C114" s="240"/>
      <c r="D114" s="241"/>
      <c r="E114" s="300"/>
      <c r="F114" s="227"/>
      <c r="G114" s="227"/>
      <c r="H114" s="242"/>
      <c r="I114" s="265"/>
      <c r="J114" s="244" t="s">
        <v>59</v>
      </c>
      <c r="K114" s="321">
        <f t="shared" si="6"/>
        <v>110</v>
      </c>
      <c r="L114" s="266"/>
      <c r="M114" s="267"/>
      <c r="N114" s="268"/>
      <c r="O114" s="269"/>
      <c r="P114" s="270"/>
      <c r="Q114" s="236" t="str">
        <f t="shared" si="7"/>
        <v/>
      </c>
      <c r="R114" s="237"/>
      <c r="S114" s="115"/>
      <c r="T114" s="261"/>
      <c r="U114" s="115"/>
      <c r="V114" s="115"/>
      <c r="W114" s="115"/>
      <c r="X114" s="115"/>
      <c r="Y114" s="115"/>
      <c r="Z114" s="115"/>
      <c r="AA114" s="115"/>
      <c r="AB114" s="115"/>
      <c r="AC114" s="115"/>
    </row>
    <row r="115">
      <c r="A115" s="238" t="s">
        <v>59</v>
      </c>
      <c r="B115" s="239"/>
      <c r="C115" s="240"/>
      <c r="D115" s="241"/>
      <c r="E115" s="300"/>
      <c r="F115" s="227"/>
      <c r="G115" s="227"/>
      <c r="H115" s="253"/>
      <c r="I115" s="265"/>
      <c r="J115" s="244" t="s">
        <v>59</v>
      </c>
      <c r="K115" s="321">
        <f t="shared" si="6"/>
        <v>111</v>
      </c>
      <c r="L115" s="266"/>
      <c r="M115" s="267"/>
      <c r="N115" s="268"/>
      <c r="O115" s="269"/>
      <c r="P115" s="270"/>
      <c r="Q115" s="236" t="str">
        <f t="shared" si="7"/>
        <v/>
      </c>
      <c r="R115" s="237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</row>
    <row r="116">
      <c r="A116" s="238" t="s">
        <v>59</v>
      </c>
      <c r="B116" s="239"/>
      <c r="C116" s="240"/>
      <c r="D116" s="241"/>
      <c r="E116" s="300"/>
      <c r="F116" s="227"/>
      <c r="G116" s="227"/>
      <c r="H116" s="242"/>
      <c r="I116" s="265"/>
      <c r="J116" s="244" t="s">
        <v>59</v>
      </c>
      <c r="K116" s="321">
        <f t="shared" si="6"/>
        <v>112</v>
      </c>
      <c r="L116" s="266"/>
      <c r="M116" s="267"/>
      <c r="N116" s="268"/>
      <c r="O116" s="269"/>
      <c r="P116" s="270"/>
      <c r="Q116" s="236" t="str">
        <f t="shared" si="7"/>
        <v/>
      </c>
      <c r="R116" s="237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</row>
    <row r="117">
      <c r="A117" s="238" t="s">
        <v>59</v>
      </c>
      <c r="B117" s="239"/>
      <c r="C117" s="240"/>
      <c r="D117" s="241"/>
      <c r="E117" s="300"/>
      <c r="F117" s="227"/>
      <c r="G117" s="227"/>
      <c r="H117" s="253"/>
      <c r="I117" s="265"/>
      <c r="J117" s="244" t="s">
        <v>59</v>
      </c>
      <c r="K117" s="321">
        <f t="shared" si="6"/>
        <v>113</v>
      </c>
      <c r="L117" s="266"/>
      <c r="M117" s="267"/>
      <c r="N117" s="268"/>
      <c r="O117" s="269"/>
      <c r="P117" s="270"/>
      <c r="Q117" s="236" t="str">
        <f t="shared" si="7"/>
        <v/>
      </c>
      <c r="R117" s="273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</row>
    <row r="118">
      <c r="A118" s="238" t="s">
        <v>59</v>
      </c>
      <c r="B118" s="239"/>
      <c r="C118" s="240"/>
      <c r="D118" s="241"/>
      <c r="E118" s="300"/>
      <c r="F118" s="227"/>
      <c r="G118" s="227"/>
      <c r="H118" s="242"/>
      <c r="I118" s="265"/>
      <c r="J118" s="244" t="s">
        <v>59</v>
      </c>
      <c r="K118" s="321">
        <f t="shared" si="6"/>
        <v>114</v>
      </c>
      <c r="L118" s="266"/>
      <c r="M118" s="267"/>
      <c r="N118" s="227"/>
      <c r="O118" s="234"/>
      <c r="P118" s="235"/>
      <c r="Q118" s="236" t="str">
        <f t="shared" si="7"/>
        <v/>
      </c>
      <c r="R118" s="273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</row>
    <row r="119">
      <c r="A119" s="238" t="s">
        <v>59</v>
      </c>
      <c r="B119" s="239"/>
      <c r="C119" s="240"/>
      <c r="D119" s="241"/>
      <c r="E119" s="300"/>
      <c r="F119" s="227"/>
      <c r="G119" s="227"/>
      <c r="H119" s="253"/>
      <c r="I119" s="265"/>
      <c r="J119" s="244" t="s">
        <v>59</v>
      </c>
      <c r="K119" s="321">
        <f t="shared" si="6"/>
        <v>115</v>
      </c>
      <c r="L119" s="266"/>
      <c r="M119" s="267"/>
      <c r="N119" s="227"/>
      <c r="O119" s="234"/>
      <c r="P119" s="235"/>
      <c r="Q119" s="236" t="str">
        <f t="shared" si="7"/>
        <v/>
      </c>
      <c r="R119" s="273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</row>
    <row r="120">
      <c r="A120" s="238" t="s">
        <v>59</v>
      </c>
      <c r="B120" s="239"/>
      <c r="C120" s="240"/>
      <c r="D120" s="241"/>
      <c r="E120" s="300"/>
      <c r="F120" s="227"/>
      <c r="G120" s="227"/>
      <c r="H120" s="242"/>
      <c r="I120" s="265"/>
      <c r="J120" s="244" t="s">
        <v>59</v>
      </c>
      <c r="K120" s="321">
        <f t="shared" si="6"/>
        <v>116</v>
      </c>
      <c r="L120" s="266"/>
      <c r="M120" s="267"/>
      <c r="N120" s="274"/>
      <c r="O120" s="234"/>
      <c r="P120" s="235"/>
      <c r="Q120" s="236" t="str">
        <f t="shared" si="7"/>
        <v/>
      </c>
      <c r="R120" s="273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</row>
    <row r="121">
      <c r="A121" s="238" t="s">
        <v>59</v>
      </c>
      <c r="B121" s="239"/>
      <c r="C121" s="240"/>
      <c r="D121" s="241"/>
      <c r="E121" s="300"/>
      <c r="F121" s="227"/>
      <c r="G121" s="227"/>
      <c r="H121" s="253"/>
      <c r="I121" s="265"/>
      <c r="J121" s="244" t="s">
        <v>59</v>
      </c>
      <c r="K121" s="321">
        <f t="shared" si="6"/>
        <v>117</v>
      </c>
      <c r="L121" s="266"/>
      <c r="M121" s="267"/>
      <c r="N121" s="274"/>
      <c r="O121" s="234"/>
      <c r="P121" s="235"/>
      <c r="Q121" s="236" t="str">
        <f t="shared" si="7"/>
        <v/>
      </c>
      <c r="R121" s="273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</row>
    <row r="122">
      <c r="A122" s="238" t="s">
        <v>59</v>
      </c>
      <c r="B122" s="239"/>
      <c r="C122" s="240"/>
      <c r="D122" s="241"/>
      <c r="E122" s="300"/>
      <c r="F122" s="227"/>
      <c r="G122" s="227"/>
      <c r="H122" s="242"/>
      <c r="I122" s="265"/>
      <c r="J122" s="244" t="s">
        <v>59</v>
      </c>
      <c r="K122" s="321">
        <f t="shared" si="6"/>
        <v>118</v>
      </c>
      <c r="L122" s="266"/>
      <c r="M122" s="267"/>
      <c r="N122" s="274"/>
      <c r="O122" s="234"/>
      <c r="P122" s="235"/>
      <c r="Q122" s="236" t="str">
        <f t="shared" si="7"/>
        <v/>
      </c>
      <c r="R122" s="273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</row>
    <row r="123">
      <c r="A123" s="238" t="s">
        <v>59</v>
      </c>
      <c r="B123" s="239"/>
      <c r="C123" s="240"/>
      <c r="D123" s="241"/>
      <c r="E123" s="300"/>
      <c r="F123" s="227"/>
      <c r="G123" s="227"/>
      <c r="H123" s="253"/>
      <c r="I123" s="265"/>
      <c r="J123" s="244" t="s">
        <v>59</v>
      </c>
      <c r="K123" s="321">
        <f t="shared" si="6"/>
        <v>119</v>
      </c>
      <c r="L123" s="266"/>
      <c r="M123" s="267"/>
      <c r="N123" s="275"/>
      <c r="O123" s="269"/>
      <c r="P123" s="270"/>
      <c r="Q123" s="236" t="str">
        <f t="shared" si="7"/>
        <v/>
      </c>
      <c r="R123" s="273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</row>
    <row r="124">
      <c r="A124" s="238" t="s">
        <v>59</v>
      </c>
      <c r="B124" s="239"/>
      <c r="C124" s="240"/>
      <c r="D124" s="241"/>
      <c r="E124" s="300"/>
      <c r="F124" s="227"/>
      <c r="G124" s="227"/>
      <c r="H124" s="242"/>
      <c r="I124" s="265"/>
      <c r="J124" s="244" t="s">
        <v>59</v>
      </c>
      <c r="K124" s="321">
        <f t="shared" si="6"/>
        <v>120</v>
      </c>
      <c r="L124" s="266"/>
      <c r="M124" s="267"/>
      <c r="N124" s="275"/>
      <c r="O124" s="269"/>
      <c r="P124" s="270"/>
      <c r="Q124" s="236" t="str">
        <f t="shared" si="7"/>
        <v/>
      </c>
      <c r="R124" s="273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</row>
    <row r="125">
      <c r="A125" s="238" t="s">
        <v>59</v>
      </c>
      <c r="B125" s="239"/>
      <c r="C125" s="240"/>
      <c r="D125" s="241"/>
      <c r="E125" s="300"/>
      <c r="F125" s="227"/>
      <c r="G125" s="227"/>
      <c r="H125" s="253"/>
      <c r="I125" s="265"/>
      <c r="J125" s="244" t="s">
        <v>59</v>
      </c>
      <c r="K125" s="321">
        <f t="shared" si="6"/>
        <v>121</v>
      </c>
      <c r="L125" s="266"/>
      <c r="M125" s="267"/>
      <c r="N125" s="275"/>
      <c r="O125" s="269"/>
      <c r="P125" s="270"/>
      <c r="Q125" s="236" t="str">
        <f t="shared" si="7"/>
        <v/>
      </c>
      <c r="R125" s="273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</row>
    <row r="126">
      <c r="A126" s="238" t="s">
        <v>59</v>
      </c>
      <c r="B126" s="239"/>
      <c r="C126" s="240"/>
      <c r="D126" s="241"/>
      <c r="E126" s="300"/>
      <c r="F126" s="227"/>
      <c r="G126" s="227"/>
      <c r="H126" s="242"/>
      <c r="I126" s="265"/>
      <c r="J126" s="244" t="s">
        <v>59</v>
      </c>
      <c r="K126" s="321">
        <f t="shared" si="6"/>
        <v>122</v>
      </c>
      <c r="L126" s="266"/>
      <c r="M126" s="267"/>
      <c r="N126" s="274"/>
      <c r="O126" s="269"/>
      <c r="P126" s="235"/>
      <c r="Q126" s="236" t="str">
        <f t="shared" si="7"/>
        <v/>
      </c>
      <c r="R126" s="273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</row>
    <row r="127">
      <c r="A127" s="276" t="s">
        <v>59</v>
      </c>
      <c r="B127" s="306"/>
      <c r="C127" s="307"/>
      <c r="D127" s="308"/>
      <c r="E127" s="309"/>
      <c r="F127" s="277"/>
      <c r="G127" s="277"/>
      <c r="H127" s="278"/>
      <c r="I127" s="265"/>
      <c r="J127" s="279" t="s">
        <v>59</v>
      </c>
      <c r="K127" s="322">
        <f t="shared" si="6"/>
        <v>123</v>
      </c>
      <c r="L127" s="311"/>
      <c r="M127" s="280"/>
      <c r="N127" s="281"/>
      <c r="O127" s="282"/>
      <c r="P127" s="283"/>
      <c r="Q127" s="236" t="str">
        <f t="shared" si="7"/>
        <v/>
      </c>
      <c r="R127" s="28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</row>
    <row r="128">
      <c r="A128" s="115"/>
      <c r="B128" s="312"/>
      <c r="C128" s="313"/>
      <c r="D128" s="314"/>
      <c r="E128" s="315"/>
      <c r="F128" s="122"/>
      <c r="G128" s="122"/>
      <c r="H128" s="265"/>
      <c r="I128" s="265"/>
      <c r="J128" s="115"/>
      <c r="K128" s="288"/>
      <c r="L128" s="265"/>
      <c r="M128" s="265"/>
      <c r="N128" s="115"/>
      <c r="O128" s="290"/>
      <c r="P128" s="316"/>
      <c r="Q128" s="323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</row>
    <row r="129">
      <c r="A129" s="221" t="s">
        <v>60</v>
      </c>
      <c r="B129" s="222" t="s">
        <v>118</v>
      </c>
      <c r="C129" s="223">
        <v>44289.0</v>
      </c>
      <c r="D129" s="224" t="s">
        <v>251</v>
      </c>
      <c r="E129" s="292">
        <v>100.0</v>
      </c>
      <c r="F129" s="226" t="s">
        <v>24</v>
      </c>
      <c r="G129" s="226" t="s">
        <v>26</v>
      </c>
      <c r="H129" s="228"/>
      <c r="I129" s="265"/>
      <c r="J129" s="230" t="s">
        <v>60</v>
      </c>
      <c r="K129" s="293">
        <f>K127+1</f>
        <v>124</v>
      </c>
      <c r="L129" s="226" t="s">
        <v>85</v>
      </c>
      <c r="M129" s="294">
        <v>44291.0</v>
      </c>
      <c r="N129" s="295" t="s">
        <v>159</v>
      </c>
      <c r="O129" s="296">
        <v>84.0</v>
      </c>
      <c r="P129" s="297">
        <v>1.0</v>
      </c>
      <c r="Q129" s="236">
        <f t="shared" ref="Q129:Q134" si="8">iferror($O129/$P129,"")</f>
        <v>84</v>
      </c>
      <c r="R129" s="299" t="s">
        <v>14</v>
      </c>
      <c r="S129" s="115"/>
      <c r="T129" s="324"/>
      <c r="U129" s="115"/>
      <c r="V129" s="115"/>
      <c r="W129" s="115"/>
      <c r="X129" s="115"/>
      <c r="Y129" s="115"/>
      <c r="Z129" s="115"/>
      <c r="AA129" s="115"/>
      <c r="AB129" s="115"/>
      <c r="AC129" s="115"/>
    </row>
    <row r="130">
      <c r="A130" s="238" t="s">
        <v>60</v>
      </c>
      <c r="B130" s="239" t="s">
        <v>118</v>
      </c>
      <c r="C130" s="240">
        <v>44294.0</v>
      </c>
      <c r="D130" s="241" t="s">
        <v>257</v>
      </c>
      <c r="E130" s="300">
        <v>50.0</v>
      </c>
      <c r="F130" s="227" t="s">
        <v>24</v>
      </c>
      <c r="G130" s="227" t="s">
        <v>26</v>
      </c>
      <c r="H130" s="242"/>
      <c r="I130" s="265"/>
      <c r="J130" s="244" t="s">
        <v>60</v>
      </c>
      <c r="K130" s="245">
        <f t="shared" ref="K130:K169" si="9">K129+1</f>
        <v>125</v>
      </c>
      <c r="L130" s="246" t="s">
        <v>120</v>
      </c>
      <c r="M130" s="247">
        <v>44291.0</v>
      </c>
      <c r="N130" s="248" t="s">
        <v>258</v>
      </c>
      <c r="O130" s="249">
        <v>2349.0</v>
      </c>
      <c r="P130" s="250">
        <v>20.0</v>
      </c>
      <c r="Q130" s="236">
        <f t="shared" si="8"/>
        <v>117.45</v>
      </c>
      <c r="R130" s="237" t="s">
        <v>20</v>
      </c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</row>
    <row r="131">
      <c r="A131" s="238" t="s">
        <v>60</v>
      </c>
      <c r="B131" s="239" t="s">
        <v>116</v>
      </c>
      <c r="C131" s="240">
        <v>44294.0</v>
      </c>
      <c r="D131" s="241" t="s">
        <v>231</v>
      </c>
      <c r="E131" s="300">
        <v>580.95</v>
      </c>
      <c r="F131" s="227" t="s">
        <v>14</v>
      </c>
      <c r="G131" s="227" t="s">
        <v>16</v>
      </c>
      <c r="H131" s="251" t="s">
        <v>17</v>
      </c>
      <c r="I131" s="265"/>
      <c r="J131" s="244" t="s">
        <v>60</v>
      </c>
      <c r="K131" s="245">
        <f t="shared" si="9"/>
        <v>126</v>
      </c>
      <c r="L131" s="246"/>
      <c r="M131" s="247"/>
      <c r="N131" s="248"/>
      <c r="O131" s="249"/>
      <c r="P131" s="250"/>
      <c r="Q131" s="236" t="str">
        <f t="shared" si="8"/>
        <v/>
      </c>
      <c r="R131" s="237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</row>
    <row r="132">
      <c r="A132" s="238" t="s">
        <v>60</v>
      </c>
      <c r="B132" s="239" t="s">
        <v>120</v>
      </c>
      <c r="C132" s="240">
        <v>44293.0</v>
      </c>
      <c r="D132" s="241" t="s">
        <v>259</v>
      </c>
      <c r="E132" s="300">
        <v>28.5</v>
      </c>
      <c r="F132" s="227" t="s">
        <v>14</v>
      </c>
      <c r="G132" s="227" t="s">
        <v>16</v>
      </c>
      <c r="H132" s="242"/>
      <c r="I132" s="265"/>
      <c r="J132" s="244" t="s">
        <v>60</v>
      </c>
      <c r="K132" s="245">
        <f t="shared" si="9"/>
        <v>127</v>
      </c>
      <c r="L132" s="254"/>
      <c r="M132" s="247"/>
      <c r="N132" s="248"/>
      <c r="O132" s="249"/>
      <c r="P132" s="250"/>
      <c r="Q132" s="236" t="str">
        <f t="shared" si="8"/>
        <v/>
      </c>
      <c r="R132" s="237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</row>
    <row r="133">
      <c r="A133" s="238" t="s">
        <v>60</v>
      </c>
      <c r="B133" s="239" t="s">
        <v>85</v>
      </c>
      <c r="C133" s="240">
        <v>44296.0</v>
      </c>
      <c r="D133" s="241" t="s">
        <v>238</v>
      </c>
      <c r="E133" s="300">
        <v>20.0</v>
      </c>
      <c r="F133" s="227" t="s">
        <v>14</v>
      </c>
      <c r="G133" s="227" t="s">
        <v>16</v>
      </c>
      <c r="H133" s="253"/>
      <c r="I133" s="265"/>
      <c r="J133" s="244" t="s">
        <v>60</v>
      </c>
      <c r="K133" s="317">
        <f t="shared" si="9"/>
        <v>128</v>
      </c>
      <c r="L133" s="256"/>
      <c r="M133" s="257"/>
      <c r="N133" s="258"/>
      <c r="O133" s="252"/>
      <c r="P133" s="259"/>
      <c r="Q133" s="236" t="str">
        <f t="shared" si="8"/>
        <v/>
      </c>
      <c r="R133" s="237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</row>
    <row r="134">
      <c r="A134" s="238" t="s">
        <v>60</v>
      </c>
      <c r="B134" s="239" t="s">
        <v>118</v>
      </c>
      <c r="C134" s="240">
        <v>44298.0</v>
      </c>
      <c r="D134" s="241" t="s">
        <v>135</v>
      </c>
      <c r="E134" s="300">
        <v>75.9</v>
      </c>
      <c r="F134" s="227" t="s">
        <v>14</v>
      </c>
      <c r="G134" s="227" t="s">
        <v>16</v>
      </c>
      <c r="H134" s="242"/>
      <c r="I134" s="265"/>
      <c r="J134" s="244" t="s">
        <v>60</v>
      </c>
      <c r="K134" s="317">
        <f t="shared" si="9"/>
        <v>129</v>
      </c>
      <c r="L134" s="256"/>
      <c r="M134" s="257"/>
      <c r="N134" s="258"/>
      <c r="O134" s="252"/>
      <c r="P134" s="259"/>
      <c r="Q134" s="236" t="str">
        <f t="shared" si="8"/>
        <v/>
      </c>
      <c r="R134" s="237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</row>
    <row r="135">
      <c r="A135" s="238" t="s">
        <v>60</v>
      </c>
      <c r="B135" s="239" t="s">
        <v>85</v>
      </c>
      <c r="C135" s="240">
        <v>44297.0</v>
      </c>
      <c r="D135" s="241" t="s">
        <v>237</v>
      </c>
      <c r="E135" s="300">
        <v>12.0</v>
      </c>
      <c r="F135" s="227" t="s">
        <v>14</v>
      </c>
      <c r="G135" s="227" t="s">
        <v>16</v>
      </c>
      <c r="H135" s="253"/>
      <c r="I135" s="265"/>
      <c r="J135" s="244" t="s">
        <v>60</v>
      </c>
      <c r="K135" s="317">
        <f t="shared" si="9"/>
        <v>130</v>
      </c>
      <c r="L135" s="256"/>
      <c r="M135" s="257"/>
      <c r="N135" s="258"/>
      <c r="O135" s="252"/>
      <c r="P135" s="259"/>
      <c r="Q135" s="236"/>
      <c r="R135" s="237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</row>
    <row r="136">
      <c r="A136" s="238" t="s">
        <v>60</v>
      </c>
      <c r="B136" s="239" t="s">
        <v>118</v>
      </c>
      <c r="C136" s="240">
        <v>44300.0</v>
      </c>
      <c r="D136" s="241" t="s">
        <v>245</v>
      </c>
      <c r="E136" s="300">
        <v>100.0</v>
      </c>
      <c r="F136" s="227" t="s">
        <v>14</v>
      </c>
      <c r="G136" s="227" t="s">
        <v>16</v>
      </c>
      <c r="H136" s="242"/>
      <c r="I136" s="265"/>
      <c r="J136" s="244" t="s">
        <v>60</v>
      </c>
      <c r="K136" s="317">
        <f t="shared" si="9"/>
        <v>131</v>
      </c>
      <c r="L136" s="256"/>
      <c r="M136" s="257"/>
      <c r="N136" s="258"/>
      <c r="O136" s="252"/>
      <c r="P136" s="259"/>
      <c r="Q136" s="236" t="str">
        <f t="shared" ref="Q136:Q169" si="10">iferror($O136/$P136,"")</f>
        <v/>
      </c>
      <c r="R136" s="237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</row>
    <row r="137">
      <c r="A137" s="238" t="s">
        <v>60</v>
      </c>
      <c r="B137" s="239" t="s">
        <v>120</v>
      </c>
      <c r="C137" s="240">
        <v>44310.0</v>
      </c>
      <c r="D137" s="241" t="s">
        <v>260</v>
      </c>
      <c r="E137" s="300">
        <v>32.0</v>
      </c>
      <c r="F137" s="227" t="s">
        <v>14</v>
      </c>
      <c r="G137" s="227" t="s">
        <v>16</v>
      </c>
      <c r="H137" s="251"/>
      <c r="I137" s="265"/>
      <c r="J137" s="244" t="s">
        <v>60</v>
      </c>
      <c r="K137" s="317">
        <f t="shared" si="9"/>
        <v>132</v>
      </c>
      <c r="L137" s="256"/>
      <c r="M137" s="257"/>
      <c r="N137" s="258"/>
      <c r="O137" s="252"/>
      <c r="P137" s="259"/>
      <c r="Q137" s="236" t="str">
        <f t="shared" si="10"/>
        <v/>
      </c>
      <c r="R137" s="237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</row>
    <row r="138">
      <c r="A138" s="238" t="s">
        <v>60</v>
      </c>
      <c r="B138" s="239" t="s">
        <v>118</v>
      </c>
      <c r="C138" s="240">
        <v>44311.0</v>
      </c>
      <c r="D138" s="241" t="s">
        <v>261</v>
      </c>
      <c r="E138" s="300">
        <v>50.0</v>
      </c>
      <c r="F138" s="227" t="s">
        <v>14</v>
      </c>
      <c r="G138" s="227" t="s">
        <v>16</v>
      </c>
      <c r="H138" s="272"/>
      <c r="I138" s="265"/>
      <c r="J138" s="244" t="s">
        <v>60</v>
      </c>
      <c r="K138" s="317">
        <f t="shared" si="9"/>
        <v>133</v>
      </c>
      <c r="L138" s="256"/>
      <c r="M138" s="257"/>
      <c r="N138" s="258"/>
      <c r="O138" s="252"/>
      <c r="P138" s="259"/>
      <c r="Q138" s="236" t="str">
        <f t="shared" si="10"/>
        <v/>
      </c>
      <c r="R138" s="237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</row>
    <row r="139">
      <c r="A139" s="238" t="s">
        <v>60</v>
      </c>
      <c r="B139" s="239" t="s">
        <v>118</v>
      </c>
      <c r="C139" s="240">
        <v>44314.0</v>
      </c>
      <c r="D139" s="241" t="s">
        <v>251</v>
      </c>
      <c r="E139" s="300">
        <v>100.0</v>
      </c>
      <c r="F139" s="227" t="s">
        <v>14</v>
      </c>
      <c r="G139" s="227" t="s">
        <v>16</v>
      </c>
      <c r="H139" s="251"/>
      <c r="I139" s="265"/>
      <c r="J139" s="244" t="s">
        <v>60</v>
      </c>
      <c r="K139" s="317">
        <f t="shared" si="9"/>
        <v>134</v>
      </c>
      <c r="L139" s="256"/>
      <c r="M139" s="257"/>
      <c r="N139" s="258"/>
      <c r="O139" s="252"/>
      <c r="P139" s="259"/>
      <c r="Q139" s="236" t="str">
        <f t="shared" si="10"/>
        <v/>
      </c>
      <c r="R139" s="237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</row>
    <row r="140">
      <c r="A140" s="238" t="s">
        <v>60</v>
      </c>
      <c r="B140" s="239" t="s">
        <v>91</v>
      </c>
      <c r="C140" s="240">
        <v>44316.0</v>
      </c>
      <c r="D140" s="241" t="s">
        <v>146</v>
      </c>
      <c r="E140" s="300">
        <v>279.99</v>
      </c>
      <c r="F140" s="227" t="s">
        <v>14</v>
      </c>
      <c r="G140" s="227" t="s">
        <v>16</v>
      </c>
      <c r="H140" s="242"/>
      <c r="I140" s="265"/>
      <c r="J140" s="244" t="s">
        <v>60</v>
      </c>
      <c r="K140" s="317">
        <f t="shared" si="9"/>
        <v>135</v>
      </c>
      <c r="L140" s="256"/>
      <c r="M140" s="257"/>
      <c r="N140" s="258"/>
      <c r="O140" s="252"/>
      <c r="P140" s="259"/>
      <c r="Q140" s="236" t="str">
        <f t="shared" si="10"/>
        <v/>
      </c>
      <c r="R140" s="237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</row>
    <row r="141">
      <c r="A141" s="238" t="s">
        <v>60</v>
      </c>
      <c r="B141" s="239"/>
      <c r="C141" s="240"/>
      <c r="D141" s="241"/>
      <c r="E141" s="300"/>
      <c r="F141" s="227"/>
      <c r="G141" s="304"/>
      <c r="H141" s="253"/>
      <c r="I141" s="265"/>
      <c r="J141" s="244" t="s">
        <v>60</v>
      </c>
      <c r="K141" s="317">
        <f t="shared" si="9"/>
        <v>136</v>
      </c>
      <c r="L141" s="256"/>
      <c r="M141" s="257"/>
      <c r="N141" s="258"/>
      <c r="O141" s="252"/>
      <c r="P141" s="259"/>
      <c r="Q141" s="236" t="str">
        <f t="shared" si="10"/>
        <v/>
      </c>
      <c r="R141" s="237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</row>
    <row r="142">
      <c r="A142" s="238" t="s">
        <v>60</v>
      </c>
      <c r="B142" s="239"/>
      <c r="C142" s="240"/>
      <c r="D142" s="241"/>
      <c r="E142" s="300"/>
      <c r="F142" s="227"/>
      <c r="G142" s="304"/>
      <c r="H142" s="242"/>
      <c r="I142" s="265"/>
      <c r="J142" s="244" t="s">
        <v>60</v>
      </c>
      <c r="K142" s="317">
        <f t="shared" si="9"/>
        <v>137</v>
      </c>
      <c r="L142" s="256"/>
      <c r="M142" s="257"/>
      <c r="N142" s="258"/>
      <c r="O142" s="252"/>
      <c r="P142" s="259"/>
      <c r="Q142" s="236" t="str">
        <f t="shared" si="10"/>
        <v/>
      </c>
      <c r="R142" s="237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</row>
    <row r="143">
      <c r="A143" s="238" t="s">
        <v>60</v>
      </c>
      <c r="B143" s="239"/>
      <c r="C143" s="240"/>
      <c r="D143" s="241"/>
      <c r="E143" s="300"/>
      <c r="F143" s="227"/>
      <c r="G143" s="304"/>
      <c r="H143" s="253"/>
      <c r="I143" s="265"/>
      <c r="J143" s="244" t="s">
        <v>60</v>
      </c>
      <c r="K143" s="317">
        <f t="shared" si="9"/>
        <v>138</v>
      </c>
      <c r="L143" s="256"/>
      <c r="M143" s="257"/>
      <c r="N143" s="258"/>
      <c r="O143" s="252"/>
      <c r="P143" s="259"/>
      <c r="Q143" s="236" t="str">
        <f t="shared" si="10"/>
        <v/>
      </c>
      <c r="R143" s="237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</row>
    <row r="144">
      <c r="A144" s="238" t="s">
        <v>60</v>
      </c>
      <c r="B144" s="239"/>
      <c r="C144" s="240"/>
      <c r="D144" s="241"/>
      <c r="E144" s="300"/>
      <c r="F144" s="227"/>
      <c r="G144" s="304"/>
      <c r="H144" s="242"/>
      <c r="I144" s="265"/>
      <c r="J144" s="244" t="s">
        <v>60</v>
      </c>
      <c r="K144" s="317">
        <f t="shared" si="9"/>
        <v>139</v>
      </c>
      <c r="L144" s="256"/>
      <c r="M144" s="257"/>
      <c r="N144" s="258"/>
      <c r="O144" s="252"/>
      <c r="P144" s="259"/>
      <c r="Q144" s="236" t="str">
        <f t="shared" si="10"/>
        <v/>
      </c>
      <c r="R144" s="237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</row>
    <row r="145">
      <c r="A145" s="238" t="s">
        <v>60</v>
      </c>
      <c r="B145" s="239"/>
      <c r="C145" s="240"/>
      <c r="D145" s="241"/>
      <c r="E145" s="300"/>
      <c r="F145" s="227"/>
      <c r="G145" s="304"/>
      <c r="H145" s="253"/>
      <c r="I145" s="265"/>
      <c r="J145" s="244" t="s">
        <v>60</v>
      </c>
      <c r="K145" s="317">
        <f t="shared" si="9"/>
        <v>140</v>
      </c>
      <c r="L145" s="256"/>
      <c r="M145" s="257"/>
      <c r="N145" s="258"/>
      <c r="O145" s="252"/>
      <c r="P145" s="259"/>
      <c r="Q145" s="236" t="str">
        <f t="shared" si="10"/>
        <v/>
      </c>
      <c r="R145" s="237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</row>
    <row r="146">
      <c r="A146" s="238" t="s">
        <v>60</v>
      </c>
      <c r="B146" s="239"/>
      <c r="C146" s="240"/>
      <c r="D146" s="241"/>
      <c r="E146" s="300"/>
      <c r="F146" s="227"/>
      <c r="G146" s="304"/>
      <c r="H146" s="242"/>
      <c r="I146" s="265"/>
      <c r="J146" s="244" t="s">
        <v>60</v>
      </c>
      <c r="K146" s="317">
        <f t="shared" si="9"/>
        <v>141</v>
      </c>
      <c r="L146" s="256"/>
      <c r="M146" s="257"/>
      <c r="N146" s="258"/>
      <c r="O146" s="252"/>
      <c r="P146" s="259"/>
      <c r="Q146" s="236" t="str">
        <f t="shared" si="10"/>
        <v/>
      </c>
      <c r="R146" s="237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</row>
    <row r="147">
      <c r="A147" s="238" t="s">
        <v>60</v>
      </c>
      <c r="B147" s="239"/>
      <c r="C147" s="240"/>
      <c r="D147" s="241"/>
      <c r="E147" s="300"/>
      <c r="F147" s="227"/>
      <c r="G147" s="304"/>
      <c r="H147" s="253"/>
      <c r="I147" s="265"/>
      <c r="J147" s="244" t="s">
        <v>60</v>
      </c>
      <c r="K147" s="317">
        <f t="shared" si="9"/>
        <v>142</v>
      </c>
      <c r="L147" s="256"/>
      <c r="M147" s="257"/>
      <c r="N147" s="258"/>
      <c r="O147" s="252"/>
      <c r="P147" s="259"/>
      <c r="Q147" s="236" t="str">
        <f t="shared" si="10"/>
        <v/>
      </c>
      <c r="R147" s="237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</row>
    <row r="148">
      <c r="A148" s="238" t="s">
        <v>60</v>
      </c>
      <c r="B148" s="239"/>
      <c r="C148" s="240"/>
      <c r="D148" s="241"/>
      <c r="E148" s="300"/>
      <c r="F148" s="227"/>
      <c r="G148" s="304"/>
      <c r="H148" s="242"/>
      <c r="I148" s="265"/>
      <c r="J148" s="244" t="s">
        <v>60</v>
      </c>
      <c r="K148" s="317">
        <f t="shared" si="9"/>
        <v>143</v>
      </c>
      <c r="L148" s="256"/>
      <c r="M148" s="257"/>
      <c r="N148" s="258"/>
      <c r="O148" s="252"/>
      <c r="P148" s="259"/>
      <c r="Q148" s="236" t="str">
        <f t="shared" si="10"/>
        <v/>
      </c>
      <c r="R148" s="237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</row>
    <row r="149">
      <c r="A149" s="238" t="s">
        <v>60</v>
      </c>
      <c r="B149" s="239"/>
      <c r="C149" s="240"/>
      <c r="D149" s="241"/>
      <c r="E149" s="300"/>
      <c r="F149" s="227"/>
      <c r="G149" s="304"/>
      <c r="H149" s="253"/>
      <c r="I149" s="265"/>
      <c r="J149" s="244" t="s">
        <v>60</v>
      </c>
      <c r="K149" s="317">
        <f t="shared" si="9"/>
        <v>144</v>
      </c>
      <c r="L149" s="256"/>
      <c r="M149" s="257"/>
      <c r="N149" s="258"/>
      <c r="O149" s="252"/>
      <c r="P149" s="259"/>
      <c r="Q149" s="236" t="str">
        <f t="shared" si="10"/>
        <v/>
      </c>
      <c r="R149" s="237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</row>
    <row r="150">
      <c r="A150" s="238" t="s">
        <v>60</v>
      </c>
      <c r="B150" s="239"/>
      <c r="C150" s="240"/>
      <c r="D150" s="241"/>
      <c r="E150" s="300"/>
      <c r="F150" s="227"/>
      <c r="G150" s="304"/>
      <c r="H150" s="242"/>
      <c r="I150" s="265"/>
      <c r="J150" s="244" t="s">
        <v>60</v>
      </c>
      <c r="K150" s="317">
        <f t="shared" si="9"/>
        <v>145</v>
      </c>
      <c r="L150" s="256"/>
      <c r="M150" s="257"/>
      <c r="N150" s="258"/>
      <c r="O150" s="252"/>
      <c r="P150" s="259"/>
      <c r="Q150" s="236" t="str">
        <f t="shared" si="10"/>
        <v/>
      </c>
      <c r="R150" s="237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</row>
    <row r="151">
      <c r="A151" s="238" t="s">
        <v>60</v>
      </c>
      <c r="B151" s="239"/>
      <c r="C151" s="240"/>
      <c r="D151" s="241"/>
      <c r="E151" s="300"/>
      <c r="F151" s="227"/>
      <c r="G151" s="304"/>
      <c r="H151" s="253"/>
      <c r="I151" s="265"/>
      <c r="J151" s="244" t="s">
        <v>60</v>
      </c>
      <c r="K151" s="317">
        <f t="shared" si="9"/>
        <v>146</v>
      </c>
      <c r="L151" s="256"/>
      <c r="M151" s="257"/>
      <c r="N151" s="258"/>
      <c r="O151" s="252"/>
      <c r="P151" s="259"/>
      <c r="Q151" s="236" t="str">
        <f t="shared" si="10"/>
        <v/>
      </c>
      <c r="R151" s="237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</row>
    <row r="152">
      <c r="A152" s="238" t="s">
        <v>60</v>
      </c>
      <c r="B152" s="239"/>
      <c r="C152" s="240"/>
      <c r="D152" s="241"/>
      <c r="E152" s="300"/>
      <c r="F152" s="227"/>
      <c r="G152" s="304"/>
      <c r="H152" s="242"/>
      <c r="I152" s="265"/>
      <c r="J152" s="244" t="s">
        <v>60</v>
      </c>
      <c r="K152" s="317">
        <f t="shared" si="9"/>
        <v>147</v>
      </c>
      <c r="L152" s="256"/>
      <c r="M152" s="257"/>
      <c r="N152" s="258"/>
      <c r="O152" s="252"/>
      <c r="P152" s="259"/>
      <c r="Q152" s="236" t="str">
        <f t="shared" si="10"/>
        <v/>
      </c>
      <c r="R152" s="237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</row>
    <row r="153">
      <c r="A153" s="238" t="s">
        <v>60</v>
      </c>
      <c r="B153" s="239"/>
      <c r="C153" s="240"/>
      <c r="D153" s="241"/>
      <c r="E153" s="300"/>
      <c r="F153" s="227"/>
      <c r="G153" s="227"/>
      <c r="H153" s="253"/>
      <c r="I153" s="265"/>
      <c r="J153" s="244" t="s">
        <v>60</v>
      </c>
      <c r="K153" s="321">
        <f t="shared" si="9"/>
        <v>148</v>
      </c>
      <c r="L153" s="266"/>
      <c r="M153" s="267"/>
      <c r="N153" s="268"/>
      <c r="O153" s="269"/>
      <c r="P153" s="270"/>
      <c r="Q153" s="236" t="str">
        <f t="shared" si="10"/>
        <v/>
      </c>
      <c r="R153" s="237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</row>
    <row r="154">
      <c r="A154" s="238" t="s">
        <v>60</v>
      </c>
      <c r="B154" s="239"/>
      <c r="C154" s="240"/>
      <c r="D154" s="241"/>
      <c r="E154" s="300"/>
      <c r="F154" s="227"/>
      <c r="G154" s="227"/>
      <c r="H154" s="242"/>
      <c r="I154" s="265"/>
      <c r="J154" s="244" t="s">
        <v>60</v>
      </c>
      <c r="K154" s="321">
        <f t="shared" si="9"/>
        <v>149</v>
      </c>
      <c r="L154" s="266"/>
      <c r="M154" s="267"/>
      <c r="N154" s="268"/>
      <c r="O154" s="269"/>
      <c r="P154" s="270"/>
      <c r="Q154" s="236" t="str">
        <f t="shared" si="10"/>
        <v/>
      </c>
      <c r="R154" s="237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</row>
    <row r="155">
      <c r="A155" s="238" t="s">
        <v>60</v>
      </c>
      <c r="B155" s="239"/>
      <c r="C155" s="240"/>
      <c r="D155" s="241"/>
      <c r="E155" s="300"/>
      <c r="F155" s="227"/>
      <c r="G155" s="227"/>
      <c r="H155" s="253"/>
      <c r="I155" s="265"/>
      <c r="J155" s="244" t="s">
        <v>60</v>
      </c>
      <c r="K155" s="321">
        <f t="shared" si="9"/>
        <v>150</v>
      </c>
      <c r="L155" s="266"/>
      <c r="M155" s="267"/>
      <c r="N155" s="268"/>
      <c r="O155" s="269"/>
      <c r="P155" s="270"/>
      <c r="Q155" s="236" t="str">
        <f t="shared" si="10"/>
        <v/>
      </c>
      <c r="R155" s="237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</row>
    <row r="156">
      <c r="A156" s="238" t="s">
        <v>60</v>
      </c>
      <c r="B156" s="239"/>
      <c r="C156" s="240"/>
      <c r="D156" s="241"/>
      <c r="E156" s="300"/>
      <c r="F156" s="227"/>
      <c r="G156" s="227"/>
      <c r="H156" s="242"/>
      <c r="I156" s="265"/>
      <c r="J156" s="244" t="s">
        <v>60</v>
      </c>
      <c r="K156" s="321">
        <f t="shared" si="9"/>
        <v>151</v>
      </c>
      <c r="L156" s="266"/>
      <c r="M156" s="267"/>
      <c r="N156" s="268"/>
      <c r="O156" s="269"/>
      <c r="P156" s="270"/>
      <c r="Q156" s="236" t="str">
        <f t="shared" si="10"/>
        <v/>
      </c>
      <c r="R156" s="237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</row>
    <row r="157">
      <c r="A157" s="238" t="s">
        <v>60</v>
      </c>
      <c r="B157" s="239"/>
      <c r="C157" s="240"/>
      <c r="D157" s="241"/>
      <c r="E157" s="300"/>
      <c r="F157" s="227"/>
      <c r="G157" s="227"/>
      <c r="H157" s="253"/>
      <c r="I157" s="265"/>
      <c r="J157" s="244" t="s">
        <v>60</v>
      </c>
      <c r="K157" s="321">
        <f t="shared" si="9"/>
        <v>152</v>
      </c>
      <c r="L157" s="266"/>
      <c r="M157" s="267"/>
      <c r="N157" s="268"/>
      <c r="O157" s="269"/>
      <c r="P157" s="270"/>
      <c r="Q157" s="236" t="str">
        <f t="shared" si="10"/>
        <v/>
      </c>
      <c r="R157" s="237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</row>
    <row r="158">
      <c r="A158" s="238" t="s">
        <v>60</v>
      </c>
      <c r="B158" s="239"/>
      <c r="C158" s="240"/>
      <c r="D158" s="241"/>
      <c r="E158" s="300"/>
      <c r="F158" s="227"/>
      <c r="G158" s="227"/>
      <c r="H158" s="242"/>
      <c r="I158" s="265"/>
      <c r="J158" s="244" t="s">
        <v>60</v>
      </c>
      <c r="K158" s="321">
        <f t="shared" si="9"/>
        <v>153</v>
      </c>
      <c r="L158" s="266"/>
      <c r="M158" s="267"/>
      <c r="N158" s="268"/>
      <c r="O158" s="269"/>
      <c r="P158" s="270"/>
      <c r="Q158" s="236" t="str">
        <f t="shared" si="10"/>
        <v/>
      </c>
      <c r="R158" s="237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</row>
    <row r="159">
      <c r="A159" s="238" t="s">
        <v>60</v>
      </c>
      <c r="B159" s="239"/>
      <c r="C159" s="240"/>
      <c r="D159" s="241"/>
      <c r="E159" s="300"/>
      <c r="F159" s="227"/>
      <c r="G159" s="227"/>
      <c r="H159" s="253"/>
      <c r="I159" s="265"/>
      <c r="J159" s="244" t="s">
        <v>60</v>
      </c>
      <c r="K159" s="321">
        <f t="shared" si="9"/>
        <v>154</v>
      </c>
      <c r="L159" s="266"/>
      <c r="M159" s="267"/>
      <c r="N159" s="268"/>
      <c r="O159" s="269"/>
      <c r="P159" s="270"/>
      <c r="Q159" s="236" t="str">
        <f t="shared" si="10"/>
        <v/>
      </c>
      <c r="R159" s="273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</row>
    <row r="160">
      <c r="A160" s="238" t="s">
        <v>60</v>
      </c>
      <c r="B160" s="239"/>
      <c r="C160" s="240"/>
      <c r="D160" s="241"/>
      <c r="E160" s="300"/>
      <c r="F160" s="227"/>
      <c r="G160" s="227"/>
      <c r="H160" s="242"/>
      <c r="I160" s="265"/>
      <c r="J160" s="244" t="s">
        <v>60</v>
      </c>
      <c r="K160" s="321">
        <f t="shared" si="9"/>
        <v>155</v>
      </c>
      <c r="L160" s="266"/>
      <c r="M160" s="267"/>
      <c r="N160" s="227"/>
      <c r="O160" s="234"/>
      <c r="P160" s="235"/>
      <c r="Q160" s="236" t="str">
        <f t="shared" si="10"/>
        <v/>
      </c>
      <c r="R160" s="273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</row>
    <row r="161">
      <c r="A161" s="238" t="s">
        <v>60</v>
      </c>
      <c r="B161" s="239"/>
      <c r="C161" s="240"/>
      <c r="D161" s="241"/>
      <c r="E161" s="300"/>
      <c r="F161" s="227"/>
      <c r="G161" s="227"/>
      <c r="H161" s="253"/>
      <c r="I161" s="265"/>
      <c r="J161" s="244" t="s">
        <v>60</v>
      </c>
      <c r="K161" s="321">
        <f t="shared" si="9"/>
        <v>156</v>
      </c>
      <c r="L161" s="266"/>
      <c r="M161" s="267"/>
      <c r="N161" s="227"/>
      <c r="O161" s="234"/>
      <c r="P161" s="235"/>
      <c r="Q161" s="236" t="str">
        <f t="shared" si="10"/>
        <v/>
      </c>
      <c r="R161" s="273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</row>
    <row r="162">
      <c r="A162" s="238" t="s">
        <v>60</v>
      </c>
      <c r="B162" s="239"/>
      <c r="C162" s="240"/>
      <c r="D162" s="241"/>
      <c r="E162" s="300"/>
      <c r="F162" s="227"/>
      <c r="G162" s="227"/>
      <c r="H162" s="242"/>
      <c r="I162" s="265"/>
      <c r="J162" s="244" t="s">
        <v>60</v>
      </c>
      <c r="K162" s="321">
        <f t="shared" si="9"/>
        <v>157</v>
      </c>
      <c r="L162" s="266"/>
      <c r="M162" s="267"/>
      <c r="N162" s="274"/>
      <c r="O162" s="234"/>
      <c r="P162" s="235"/>
      <c r="Q162" s="236" t="str">
        <f t="shared" si="10"/>
        <v/>
      </c>
      <c r="R162" s="273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</row>
    <row r="163">
      <c r="A163" s="238" t="s">
        <v>60</v>
      </c>
      <c r="B163" s="239"/>
      <c r="C163" s="240"/>
      <c r="D163" s="241"/>
      <c r="E163" s="300"/>
      <c r="F163" s="227"/>
      <c r="G163" s="227"/>
      <c r="H163" s="253"/>
      <c r="I163" s="265"/>
      <c r="J163" s="244" t="s">
        <v>60</v>
      </c>
      <c r="K163" s="321">
        <f t="shared" si="9"/>
        <v>158</v>
      </c>
      <c r="L163" s="266"/>
      <c r="M163" s="267"/>
      <c r="N163" s="274"/>
      <c r="O163" s="234"/>
      <c r="P163" s="235"/>
      <c r="Q163" s="236" t="str">
        <f t="shared" si="10"/>
        <v/>
      </c>
      <c r="R163" s="273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</row>
    <row r="164">
      <c r="A164" s="238" t="s">
        <v>60</v>
      </c>
      <c r="B164" s="239"/>
      <c r="C164" s="240"/>
      <c r="D164" s="241"/>
      <c r="E164" s="300"/>
      <c r="F164" s="227"/>
      <c r="G164" s="227"/>
      <c r="H164" s="242"/>
      <c r="I164" s="265"/>
      <c r="J164" s="244" t="s">
        <v>60</v>
      </c>
      <c r="K164" s="321">
        <f t="shared" si="9"/>
        <v>159</v>
      </c>
      <c r="L164" s="266"/>
      <c r="M164" s="267"/>
      <c r="N164" s="274"/>
      <c r="O164" s="234"/>
      <c r="P164" s="235"/>
      <c r="Q164" s="236" t="str">
        <f t="shared" si="10"/>
        <v/>
      </c>
      <c r="R164" s="273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</row>
    <row r="165">
      <c r="A165" s="238" t="s">
        <v>60</v>
      </c>
      <c r="B165" s="239"/>
      <c r="C165" s="240"/>
      <c r="D165" s="241"/>
      <c r="E165" s="300"/>
      <c r="F165" s="227"/>
      <c r="G165" s="227"/>
      <c r="H165" s="253"/>
      <c r="I165" s="265"/>
      <c r="J165" s="244" t="s">
        <v>60</v>
      </c>
      <c r="K165" s="321">
        <f t="shared" si="9"/>
        <v>160</v>
      </c>
      <c r="L165" s="266"/>
      <c r="M165" s="267"/>
      <c r="N165" s="275"/>
      <c r="O165" s="269"/>
      <c r="P165" s="270"/>
      <c r="Q165" s="236" t="str">
        <f t="shared" si="10"/>
        <v/>
      </c>
      <c r="R165" s="273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</row>
    <row r="166">
      <c r="A166" s="238" t="s">
        <v>60</v>
      </c>
      <c r="B166" s="239"/>
      <c r="C166" s="240"/>
      <c r="D166" s="241"/>
      <c r="E166" s="300"/>
      <c r="F166" s="227"/>
      <c r="G166" s="227"/>
      <c r="H166" s="242"/>
      <c r="I166" s="265"/>
      <c r="J166" s="244" t="s">
        <v>60</v>
      </c>
      <c r="K166" s="321">
        <f t="shared" si="9"/>
        <v>161</v>
      </c>
      <c r="L166" s="266"/>
      <c r="M166" s="267"/>
      <c r="N166" s="275"/>
      <c r="O166" s="269"/>
      <c r="P166" s="270"/>
      <c r="Q166" s="236" t="str">
        <f t="shared" si="10"/>
        <v/>
      </c>
      <c r="R166" s="273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</row>
    <row r="167">
      <c r="A167" s="238" t="s">
        <v>60</v>
      </c>
      <c r="B167" s="239"/>
      <c r="C167" s="240"/>
      <c r="D167" s="241"/>
      <c r="E167" s="300"/>
      <c r="F167" s="227"/>
      <c r="G167" s="227"/>
      <c r="H167" s="253"/>
      <c r="I167" s="265"/>
      <c r="J167" s="244" t="s">
        <v>60</v>
      </c>
      <c r="K167" s="321">
        <f t="shared" si="9"/>
        <v>162</v>
      </c>
      <c r="L167" s="266"/>
      <c r="M167" s="267"/>
      <c r="N167" s="275"/>
      <c r="O167" s="269"/>
      <c r="P167" s="270"/>
      <c r="Q167" s="236" t="str">
        <f t="shared" si="10"/>
        <v/>
      </c>
      <c r="R167" s="273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</row>
    <row r="168">
      <c r="A168" s="238" t="s">
        <v>60</v>
      </c>
      <c r="B168" s="239"/>
      <c r="C168" s="240"/>
      <c r="D168" s="241"/>
      <c r="E168" s="300"/>
      <c r="F168" s="227"/>
      <c r="G168" s="227"/>
      <c r="H168" s="242"/>
      <c r="I168" s="265"/>
      <c r="J168" s="244" t="s">
        <v>60</v>
      </c>
      <c r="K168" s="321">
        <f t="shared" si="9"/>
        <v>163</v>
      </c>
      <c r="L168" s="266"/>
      <c r="M168" s="267"/>
      <c r="N168" s="274"/>
      <c r="O168" s="269"/>
      <c r="P168" s="235"/>
      <c r="Q168" s="236" t="str">
        <f t="shared" si="10"/>
        <v/>
      </c>
      <c r="R168" s="273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</row>
    <row r="169">
      <c r="A169" s="276" t="s">
        <v>60</v>
      </c>
      <c r="B169" s="306"/>
      <c r="C169" s="307"/>
      <c r="D169" s="308"/>
      <c r="E169" s="309"/>
      <c r="F169" s="277"/>
      <c r="G169" s="277"/>
      <c r="H169" s="278"/>
      <c r="I169" s="265"/>
      <c r="J169" s="279" t="s">
        <v>60</v>
      </c>
      <c r="K169" s="322">
        <f t="shared" si="9"/>
        <v>164</v>
      </c>
      <c r="L169" s="311"/>
      <c r="M169" s="280"/>
      <c r="N169" s="281"/>
      <c r="O169" s="282"/>
      <c r="P169" s="283"/>
      <c r="Q169" s="236" t="str">
        <f t="shared" si="10"/>
        <v/>
      </c>
      <c r="R169" s="28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</row>
    <row r="170">
      <c r="A170" s="115"/>
      <c r="B170" s="312"/>
      <c r="C170" s="313"/>
      <c r="D170" s="314"/>
      <c r="E170" s="315"/>
      <c r="F170" s="122"/>
      <c r="G170" s="122"/>
      <c r="H170" s="265"/>
      <c r="I170" s="265"/>
      <c r="J170" s="115"/>
      <c r="K170" s="288"/>
      <c r="L170" s="265"/>
      <c r="M170" s="265"/>
      <c r="N170" s="115"/>
      <c r="O170" s="290"/>
      <c r="P170" s="316"/>
      <c r="Q170" s="323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</row>
    <row r="171">
      <c r="A171" s="221" t="s">
        <v>61</v>
      </c>
      <c r="B171" s="222" t="s">
        <v>116</v>
      </c>
      <c r="C171" s="223">
        <v>44326.0</v>
      </c>
      <c r="D171" s="224" t="s">
        <v>231</v>
      </c>
      <c r="E171" s="292">
        <v>423.68</v>
      </c>
      <c r="F171" s="226" t="s">
        <v>14</v>
      </c>
      <c r="G171" s="226" t="s">
        <v>16</v>
      </c>
      <c r="H171" s="325" t="s">
        <v>17</v>
      </c>
      <c r="I171" s="265"/>
      <c r="J171" s="230" t="s">
        <v>61</v>
      </c>
      <c r="K171" s="245">
        <f>K169+1</f>
        <v>165</v>
      </c>
      <c r="L171" s="246" t="s">
        <v>118</v>
      </c>
      <c r="M171" s="247">
        <v>44321.0</v>
      </c>
      <c r="N171" s="295" t="s">
        <v>252</v>
      </c>
      <c r="O171" s="296">
        <v>74.95</v>
      </c>
      <c r="P171" s="297">
        <v>1.0</v>
      </c>
      <c r="Q171" s="236">
        <f t="shared" ref="Q171:Q211" si="11">iferror($O171/$P171,"")</f>
        <v>74.95</v>
      </c>
      <c r="R171" s="299" t="s">
        <v>14</v>
      </c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</row>
    <row r="172">
      <c r="A172" s="238" t="s">
        <v>61</v>
      </c>
      <c r="B172" s="239" t="s">
        <v>118</v>
      </c>
      <c r="C172" s="240">
        <v>44327.0</v>
      </c>
      <c r="D172" s="241" t="s">
        <v>262</v>
      </c>
      <c r="E172" s="300">
        <v>50.0</v>
      </c>
      <c r="F172" s="227" t="s">
        <v>14</v>
      </c>
      <c r="G172" s="227" t="s">
        <v>16</v>
      </c>
      <c r="H172" s="242"/>
      <c r="I172" s="265"/>
      <c r="J172" s="244" t="s">
        <v>61</v>
      </c>
      <c r="K172" s="245">
        <f t="shared" ref="K172:K211" si="12">K171+1</f>
        <v>166</v>
      </c>
      <c r="L172" s="246" t="s">
        <v>122</v>
      </c>
      <c r="M172" s="247">
        <v>44327.0</v>
      </c>
      <c r="N172" s="248" t="s">
        <v>122</v>
      </c>
      <c r="O172" s="249">
        <v>43.86</v>
      </c>
      <c r="P172" s="250">
        <v>1.0</v>
      </c>
      <c r="Q172" s="236">
        <f t="shared" si="11"/>
        <v>43.86</v>
      </c>
      <c r="R172" s="237" t="s">
        <v>20</v>
      </c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</row>
    <row r="173">
      <c r="A173" s="238" t="s">
        <v>61</v>
      </c>
      <c r="B173" s="239" t="s">
        <v>118</v>
      </c>
      <c r="C173" s="240">
        <v>44328.0</v>
      </c>
      <c r="D173" s="241" t="s">
        <v>135</v>
      </c>
      <c r="E173" s="300">
        <v>75.9</v>
      </c>
      <c r="F173" s="227" t="s">
        <v>14</v>
      </c>
      <c r="G173" s="227" t="s">
        <v>16</v>
      </c>
      <c r="H173" s="253"/>
      <c r="I173" s="265"/>
      <c r="J173" s="244" t="s">
        <v>61</v>
      </c>
      <c r="K173" s="245">
        <f t="shared" si="12"/>
        <v>167</v>
      </c>
      <c r="L173" s="254"/>
      <c r="M173" s="247"/>
      <c r="N173" s="248"/>
      <c r="O173" s="249"/>
      <c r="P173" s="250"/>
      <c r="Q173" s="236" t="str">
        <f t="shared" si="11"/>
        <v/>
      </c>
      <c r="R173" s="237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</row>
    <row r="174">
      <c r="A174" s="238" t="s">
        <v>61</v>
      </c>
      <c r="B174" s="239" t="s">
        <v>118</v>
      </c>
      <c r="C174" s="240">
        <v>44328.0</v>
      </c>
      <c r="D174" s="241" t="s">
        <v>236</v>
      </c>
      <c r="E174" s="300">
        <v>100.0</v>
      </c>
      <c r="F174" s="227" t="s">
        <v>14</v>
      </c>
      <c r="G174" s="227" t="s">
        <v>16</v>
      </c>
      <c r="H174" s="242"/>
      <c r="I174" s="265"/>
      <c r="J174" s="244" t="s">
        <v>61</v>
      </c>
      <c r="K174" s="245">
        <f t="shared" si="12"/>
        <v>168</v>
      </c>
      <c r="L174" s="254"/>
      <c r="M174" s="247"/>
      <c r="N174" s="248"/>
      <c r="O174" s="249"/>
      <c r="P174" s="250"/>
      <c r="Q174" s="236" t="str">
        <f t="shared" si="11"/>
        <v/>
      </c>
      <c r="R174" s="237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</row>
    <row r="175">
      <c r="A175" s="238" t="s">
        <v>61</v>
      </c>
      <c r="B175" s="239" t="s">
        <v>85</v>
      </c>
      <c r="C175" s="240">
        <v>44331.0</v>
      </c>
      <c r="D175" s="241" t="s">
        <v>241</v>
      </c>
      <c r="E175" s="300">
        <v>49.4</v>
      </c>
      <c r="F175" s="227" t="s">
        <v>14</v>
      </c>
      <c r="G175" s="227" t="s">
        <v>16</v>
      </c>
      <c r="H175" s="253"/>
      <c r="I175" s="265"/>
      <c r="J175" s="244" t="s">
        <v>61</v>
      </c>
      <c r="K175" s="317">
        <f t="shared" si="12"/>
        <v>169</v>
      </c>
      <c r="L175" s="256"/>
      <c r="M175" s="257"/>
      <c r="N175" s="258"/>
      <c r="O175" s="252"/>
      <c r="P175" s="259"/>
      <c r="Q175" s="236" t="str">
        <f t="shared" si="11"/>
        <v/>
      </c>
      <c r="R175" s="237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</row>
    <row r="176">
      <c r="A176" s="238" t="s">
        <v>61</v>
      </c>
      <c r="B176" s="239" t="s">
        <v>118</v>
      </c>
      <c r="C176" s="240">
        <v>44332.0</v>
      </c>
      <c r="D176" s="241" t="s">
        <v>263</v>
      </c>
      <c r="E176" s="300">
        <v>15.0</v>
      </c>
      <c r="F176" s="227" t="s">
        <v>14</v>
      </c>
      <c r="G176" s="227" t="s">
        <v>16</v>
      </c>
      <c r="H176" s="272"/>
      <c r="I176" s="265"/>
      <c r="J176" s="244" t="s">
        <v>61</v>
      </c>
      <c r="K176" s="317">
        <f t="shared" si="12"/>
        <v>170</v>
      </c>
      <c r="L176" s="256"/>
      <c r="M176" s="257"/>
      <c r="N176" s="258"/>
      <c r="O176" s="252"/>
      <c r="P176" s="259"/>
      <c r="Q176" s="236" t="str">
        <f t="shared" si="11"/>
        <v/>
      </c>
      <c r="R176" s="237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</row>
    <row r="177">
      <c r="A177" s="238" t="s">
        <v>61</v>
      </c>
      <c r="B177" s="239" t="s">
        <v>118</v>
      </c>
      <c r="C177" s="240">
        <v>44340.0</v>
      </c>
      <c r="D177" s="241" t="s">
        <v>144</v>
      </c>
      <c r="E177" s="300">
        <v>147.36</v>
      </c>
      <c r="F177" s="227" t="s">
        <v>14</v>
      </c>
      <c r="G177" s="227" t="s">
        <v>16</v>
      </c>
      <c r="H177" s="253"/>
      <c r="I177" s="265"/>
      <c r="J177" s="244" t="s">
        <v>61</v>
      </c>
      <c r="K177" s="317">
        <f t="shared" si="12"/>
        <v>171</v>
      </c>
      <c r="L177" s="256"/>
      <c r="M177" s="257"/>
      <c r="N177" s="258"/>
      <c r="O177" s="252"/>
      <c r="P177" s="259"/>
      <c r="Q177" s="236" t="str">
        <f t="shared" si="11"/>
        <v/>
      </c>
      <c r="R177" s="237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</row>
    <row r="178">
      <c r="A178" s="238" t="s">
        <v>61</v>
      </c>
      <c r="B178" s="239" t="s">
        <v>118</v>
      </c>
      <c r="C178" s="240">
        <v>44342.0</v>
      </c>
      <c r="D178" s="241" t="s">
        <v>136</v>
      </c>
      <c r="E178" s="300">
        <v>100.0</v>
      </c>
      <c r="F178" s="227" t="s">
        <v>24</v>
      </c>
      <c r="G178" s="227" t="s">
        <v>26</v>
      </c>
      <c r="H178" s="242"/>
      <c r="I178" s="265"/>
      <c r="J178" s="244" t="s">
        <v>61</v>
      </c>
      <c r="K178" s="317">
        <f t="shared" si="12"/>
        <v>172</v>
      </c>
      <c r="L178" s="256"/>
      <c r="M178" s="257"/>
      <c r="N178" s="258"/>
      <c r="O178" s="252"/>
      <c r="P178" s="259"/>
      <c r="Q178" s="236" t="str">
        <f t="shared" si="11"/>
        <v/>
      </c>
      <c r="R178" s="237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</row>
    <row r="179">
      <c r="A179" s="238" t="s">
        <v>61</v>
      </c>
      <c r="B179" s="239" t="s">
        <v>118</v>
      </c>
      <c r="C179" s="240">
        <v>44343.0</v>
      </c>
      <c r="D179" s="241" t="s">
        <v>208</v>
      </c>
      <c r="E179" s="300">
        <v>50.0</v>
      </c>
      <c r="F179" s="227" t="s">
        <v>24</v>
      </c>
      <c r="G179" s="227" t="s">
        <v>26</v>
      </c>
      <c r="H179" s="251"/>
      <c r="I179" s="265"/>
      <c r="J179" s="244" t="s">
        <v>61</v>
      </c>
      <c r="K179" s="317">
        <f t="shared" si="12"/>
        <v>173</v>
      </c>
      <c r="L179" s="256"/>
      <c r="M179" s="257"/>
      <c r="N179" s="258"/>
      <c r="O179" s="252"/>
      <c r="P179" s="259"/>
      <c r="Q179" s="236" t="str">
        <f t="shared" si="11"/>
        <v/>
      </c>
      <c r="R179" s="237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</row>
    <row r="180">
      <c r="A180" s="238" t="s">
        <v>61</v>
      </c>
      <c r="B180" s="239" t="s">
        <v>91</v>
      </c>
      <c r="C180" s="240">
        <v>44347.0</v>
      </c>
      <c r="D180" s="241" t="s">
        <v>146</v>
      </c>
      <c r="E180" s="300">
        <v>279.99</v>
      </c>
      <c r="F180" s="227" t="s">
        <v>14</v>
      </c>
      <c r="G180" s="227" t="s">
        <v>16</v>
      </c>
      <c r="H180" s="272"/>
      <c r="I180" s="265"/>
      <c r="J180" s="244" t="s">
        <v>61</v>
      </c>
      <c r="K180" s="317">
        <f t="shared" si="12"/>
        <v>174</v>
      </c>
      <c r="L180" s="256"/>
      <c r="M180" s="257"/>
      <c r="N180" s="258"/>
      <c r="O180" s="252"/>
      <c r="P180" s="259"/>
      <c r="Q180" s="236" t="str">
        <f t="shared" si="11"/>
        <v/>
      </c>
      <c r="R180" s="237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</row>
    <row r="181">
      <c r="A181" s="238" t="s">
        <v>61</v>
      </c>
      <c r="B181" s="239"/>
      <c r="C181" s="240"/>
      <c r="D181" s="241"/>
      <c r="E181" s="300"/>
      <c r="F181" s="227"/>
      <c r="G181" s="304"/>
      <c r="H181" s="253"/>
      <c r="I181" s="265"/>
      <c r="J181" s="244" t="s">
        <v>61</v>
      </c>
      <c r="K181" s="317">
        <f t="shared" si="12"/>
        <v>175</v>
      </c>
      <c r="L181" s="256"/>
      <c r="M181" s="257"/>
      <c r="N181" s="258"/>
      <c r="O181" s="252"/>
      <c r="P181" s="259"/>
      <c r="Q181" s="236" t="str">
        <f t="shared" si="11"/>
        <v/>
      </c>
      <c r="R181" s="237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</row>
    <row r="182">
      <c r="A182" s="238" t="s">
        <v>61</v>
      </c>
      <c r="B182" s="239"/>
      <c r="C182" s="240"/>
      <c r="D182" s="241"/>
      <c r="E182" s="300"/>
      <c r="F182" s="227"/>
      <c r="G182" s="304"/>
      <c r="H182" s="242"/>
      <c r="I182" s="265"/>
      <c r="J182" s="244" t="s">
        <v>61</v>
      </c>
      <c r="K182" s="317">
        <f t="shared" si="12"/>
        <v>176</v>
      </c>
      <c r="L182" s="256"/>
      <c r="M182" s="257"/>
      <c r="N182" s="258"/>
      <c r="O182" s="252"/>
      <c r="P182" s="259"/>
      <c r="Q182" s="236" t="str">
        <f t="shared" si="11"/>
        <v/>
      </c>
      <c r="R182" s="237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</row>
    <row r="183">
      <c r="A183" s="238" t="s">
        <v>61</v>
      </c>
      <c r="B183" s="239"/>
      <c r="C183" s="240"/>
      <c r="D183" s="241"/>
      <c r="E183" s="300"/>
      <c r="F183" s="227"/>
      <c r="G183" s="304"/>
      <c r="H183" s="253"/>
      <c r="I183" s="265"/>
      <c r="J183" s="244" t="s">
        <v>61</v>
      </c>
      <c r="K183" s="317">
        <f t="shared" si="12"/>
        <v>177</v>
      </c>
      <c r="L183" s="256"/>
      <c r="M183" s="257"/>
      <c r="N183" s="258"/>
      <c r="O183" s="252"/>
      <c r="P183" s="259"/>
      <c r="Q183" s="236" t="str">
        <f t="shared" si="11"/>
        <v/>
      </c>
      <c r="R183" s="237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</row>
    <row r="184">
      <c r="A184" s="238" t="s">
        <v>61</v>
      </c>
      <c r="B184" s="239"/>
      <c r="C184" s="240"/>
      <c r="D184" s="241"/>
      <c r="E184" s="300"/>
      <c r="F184" s="227"/>
      <c r="G184" s="304"/>
      <c r="H184" s="242"/>
      <c r="I184" s="265"/>
      <c r="J184" s="244" t="s">
        <v>61</v>
      </c>
      <c r="K184" s="317">
        <f t="shared" si="12"/>
        <v>178</v>
      </c>
      <c r="L184" s="256"/>
      <c r="M184" s="257"/>
      <c r="N184" s="258"/>
      <c r="O184" s="252"/>
      <c r="P184" s="259"/>
      <c r="Q184" s="236" t="str">
        <f t="shared" si="11"/>
        <v/>
      </c>
      <c r="R184" s="237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</row>
    <row r="185">
      <c r="A185" s="238" t="s">
        <v>61</v>
      </c>
      <c r="B185" s="239"/>
      <c r="C185" s="240"/>
      <c r="D185" s="241"/>
      <c r="E185" s="300"/>
      <c r="F185" s="227"/>
      <c r="G185" s="304"/>
      <c r="H185" s="253"/>
      <c r="I185" s="265"/>
      <c r="J185" s="244" t="s">
        <v>61</v>
      </c>
      <c r="K185" s="317">
        <f t="shared" si="12"/>
        <v>179</v>
      </c>
      <c r="L185" s="256"/>
      <c r="M185" s="257"/>
      <c r="N185" s="258"/>
      <c r="O185" s="252"/>
      <c r="P185" s="259"/>
      <c r="Q185" s="236" t="str">
        <f t="shared" si="11"/>
        <v/>
      </c>
      <c r="R185" s="237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</row>
    <row r="186">
      <c r="A186" s="238" t="s">
        <v>61</v>
      </c>
      <c r="B186" s="239"/>
      <c r="C186" s="240"/>
      <c r="D186" s="241"/>
      <c r="E186" s="300"/>
      <c r="F186" s="227"/>
      <c r="G186" s="304"/>
      <c r="H186" s="242"/>
      <c r="I186" s="265"/>
      <c r="J186" s="244" t="s">
        <v>61</v>
      </c>
      <c r="K186" s="317">
        <f t="shared" si="12"/>
        <v>180</v>
      </c>
      <c r="L186" s="256"/>
      <c r="M186" s="257"/>
      <c r="N186" s="258"/>
      <c r="O186" s="252"/>
      <c r="P186" s="259"/>
      <c r="Q186" s="236" t="str">
        <f t="shared" si="11"/>
        <v/>
      </c>
      <c r="R186" s="237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</row>
    <row r="187">
      <c r="A187" s="238" t="s">
        <v>61</v>
      </c>
      <c r="B187" s="239"/>
      <c r="C187" s="240"/>
      <c r="D187" s="241"/>
      <c r="E187" s="300"/>
      <c r="F187" s="227"/>
      <c r="G187" s="304"/>
      <c r="H187" s="253"/>
      <c r="I187" s="265"/>
      <c r="J187" s="244" t="s">
        <v>61</v>
      </c>
      <c r="K187" s="317">
        <f t="shared" si="12"/>
        <v>181</v>
      </c>
      <c r="L187" s="256"/>
      <c r="M187" s="257"/>
      <c r="N187" s="258"/>
      <c r="O187" s="252"/>
      <c r="P187" s="259"/>
      <c r="Q187" s="236" t="str">
        <f t="shared" si="11"/>
        <v/>
      </c>
      <c r="R187" s="237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</row>
    <row r="188">
      <c r="A188" s="238" t="s">
        <v>61</v>
      </c>
      <c r="B188" s="239"/>
      <c r="C188" s="240"/>
      <c r="D188" s="241"/>
      <c r="E188" s="300"/>
      <c r="F188" s="227"/>
      <c r="G188" s="304"/>
      <c r="H188" s="242"/>
      <c r="I188" s="265"/>
      <c r="J188" s="244" t="s">
        <v>61</v>
      </c>
      <c r="K188" s="317">
        <f t="shared" si="12"/>
        <v>182</v>
      </c>
      <c r="L188" s="256"/>
      <c r="M188" s="257"/>
      <c r="N188" s="258"/>
      <c r="O188" s="252"/>
      <c r="P188" s="259"/>
      <c r="Q188" s="236" t="str">
        <f t="shared" si="11"/>
        <v/>
      </c>
      <c r="R188" s="237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</row>
    <row r="189">
      <c r="A189" s="238" t="s">
        <v>61</v>
      </c>
      <c r="B189" s="239"/>
      <c r="C189" s="240"/>
      <c r="D189" s="241"/>
      <c r="E189" s="300"/>
      <c r="F189" s="227"/>
      <c r="G189" s="304"/>
      <c r="H189" s="253"/>
      <c r="I189" s="265"/>
      <c r="J189" s="244" t="s">
        <v>61</v>
      </c>
      <c r="K189" s="317">
        <f t="shared" si="12"/>
        <v>183</v>
      </c>
      <c r="L189" s="256"/>
      <c r="M189" s="257"/>
      <c r="N189" s="258"/>
      <c r="O189" s="252"/>
      <c r="P189" s="259"/>
      <c r="Q189" s="236" t="str">
        <f t="shared" si="11"/>
        <v/>
      </c>
      <c r="R189" s="237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</row>
    <row r="190">
      <c r="A190" s="238" t="s">
        <v>61</v>
      </c>
      <c r="B190" s="239"/>
      <c r="C190" s="240"/>
      <c r="D190" s="241"/>
      <c r="E190" s="300"/>
      <c r="F190" s="227"/>
      <c r="G190" s="304"/>
      <c r="H190" s="242"/>
      <c r="I190" s="265"/>
      <c r="J190" s="244" t="s">
        <v>61</v>
      </c>
      <c r="K190" s="317">
        <f t="shared" si="12"/>
        <v>184</v>
      </c>
      <c r="L190" s="256"/>
      <c r="M190" s="257"/>
      <c r="N190" s="258"/>
      <c r="O190" s="252"/>
      <c r="P190" s="259"/>
      <c r="Q190" s="236" t="str">
        <f t="shared" si="11"/>
        <v/>
      </c>
      <c r="R190" s="237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</row>
    <row r="191">
      <c r="A191" s="238" t="s">
        <v>61</v>
      </c>
      <c r="B191" s="239"/>
      <c r="C191" s="240"/>
      <c r="D191" s="241"/>
      <c r="E191" s="300"/>
      <c r="F191" s="227"/>
      <c r="G191" s="304"/>
      <c r="H191" s="253"/>
      <c r="I191" s="265"/>
      <c r="J191" s="244" t="s">
        <v>61</v>
      </c>
      <c r="K191" s="317">
        <f t="shared" si="12"/>
        <v>185</v>
      </c>
      <c r="L191" s="256"/>
      <c r="M191" s="257"/>
      <c r="N191" s="258"/>
      <c r="O191" s="252"/>
      <c r="P191" s="259"/>
      <c r="Q191" s="236" t="str">
        <f t="shared" si="11"/>
        <v/>
      </c>
      <c r="R191" s="237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</row>
    <row r="192">
      <c r="A192" s="238" t="s">
        <v>61</v>
      </c>
      <c r="B192" s="239"/>
      <c r="C192" s="240"/>
      <c r="D192" s="241"/>
      <c r="E192" s="300"/>
      <c r="F192" s="227"/>
      <c r="G192" s="304"/>
      <c r="H192" s="242"/>
      <c r="I192" s="265"/>
      <c r="J192" s="244" t="s">
        <v>61</v>
      </c>
      <c r="K192" s="317">
        <f t="shared" si="12"/>
        <v>186</v>
      </c>
      <c r="L192" s="256"/>
      <c r="M192" s="257"/>
      <c r="N192" s="258"/>
      <c r="O192" s="252"/>
      <c r="P192" s="259"/>
      <c r="Q192" s="236" t="str">
        <f t="shared" si="11"/>
        <v/>
      </c>
      <c r="R192" s="237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</row>
    <row r="193">
      <c r="A193" s="238" t="s">
        <v>61</v>
      </c>
      <c r="B193" s="239"/>
      <c r="C193" s="240"/>
      <c r="D193" s="241"/>
      <c r="E193" s="300"/>
      <c r="F193" s="227"/>
      <c r="G193" s="304"/>
      <c r="H193" s="253"/>
      <c r="I193" s="265"/>
      <c r="J193" s="244" t="s">
        <v>61</v>
      </c>
      <c r="K193" s="317">
        <f t="shared" si="12"/>
        <v>187</v>
      </c>
      <c r="L193" s="256"/>
      <c r="M193" s="257"/>
      <c r="N193" s="258"/>
      <c r="O193" s="252"/>
      <c r="P193" s="259"/>
      <c r="Q193" s="236" t="str">
        <f t="shared" si="11"/>
        <v/>
      </c>
      <c r="R193" s="237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</row>
    <row r="194">
      <c r="A194" s="238" t="s">
        <v>61</v>
      </c>
      <c r="B194" s="239"/>
      <c r="C194" s="240"/>
      <c r="D194" s="241"/>
      <c r="E194" s="300"/>
      <c r="F194" s="227"/>
      <c r="G194" s="304"/>
      <c r="H194" s="242"/>
      <c r="I194" s="265"/>
      <c r="J194" s="244" t="s">
        <v>61</v>
      </c>
      <c r="K194" s="317">
        <f t="shared" si="12"/>
        <v>188</v>
      </c>
      <c r="L194" s="256"/>
      <c r="M194" s="257"/>
      <c r="N194" s="258"/>
      <c r="O194" s="252"/>
      <c r="P194" s="259"/>
      <c r="Q194" s="236" t="str">
        <f t="shared" si="11"/>
        <v/>
      </c>
      <c r="R194" s="237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</row>
    <row r="195">
      <c r="A195" s="238" t="s">
        <v>61</v>
      </c>
      <c r="B195" s="239"/>
      <c r="C195" s="240"/>
      <c r="D195" s="241"/>
      <c r="E195" s="300"/>
      <c r="F195" s="227"/>
      <c r="G195" s="227"/>
      <c r="H195" s="253"/>
      <c r="I195" s="265"/>
      <c r="J195" s="244" t="s">
        <v>61</v>
      </c>
      <c r="K195" s="321">
        <f t="shared" si="12"/>
        <v>189</v>
      </c>
      <c r="L195" s="266"/>
      <c r="M195" s="267"/>
      <c r="N195" s="268"/>
      <c r="O195" s="269"/>
      <c r="P195" s="270"/>
      <c r="Q195" s="236" t="str">
        <f t="shared" si="11"/>
        <v/>
      </c>
      <c r="R195" s="237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</row>
    <row r="196">
      <c r="A196" s="238" t="s">
        <v>61</v>
      </c>
      <c r="B196" s="239"/>
      <c r="C196" s="240"/>
      <c r="D196" s="241"/>
      <c r="E196" s="300"/>
      <c r="F196" s="227"/>
      <c r="G196" s="227"/>
      <c r="H196" s="242"/>
      <c r="I196" s="265"/>
      <c r="J196" s="244" t="s">
        <v>61</v>
      </c>
      <c r="K196" s="321">
        <f t="shared" si="12"/>
        <v>190</v>
      </c>
      <c r="L196" s="266"/>
      <c r="M196" s="267"/>
      <c r="N196" s="268"/>
      <c r="O196" s="269"/>
      <c r="P196" s="270"/>
      <c r="Q196" s="236" t="str">
        <f t="shared" si="11"/>
        <v/>
      </c>
      <c r="R196" s="237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</row>
    <row r="197">
      <c r="A197" s="238" t="s">
        <v>61</v>
      </c>
      <c r="B197" s="239"/>
      <c r="C197" s="240"/>
      <c r="D197" s="241"/>
      <c r="E197" s="300"/>
      <c r="F197" s="227"/>
      <c r="G197" s="227"/>
      <c r="H197" s="253"/>
      <c r="I197" s="265"/>
      <c r="J197" s="244" t="s">
        <v>61</v>
      </c>
      <c r="K197" s="321">
        <f t="shared" si="12"/>
        <v>191</v>
      </c>
      <c r="L197" s="266"/>
      <c r="M197" s="267"/>
      <c r="N197" s="268"/>
      <c r="O197" s="269"/>
      <c r="P197" s="270"/>
      <c r="Q197" s="236" t="str">
        <f t="shared" si="11"/>
        <v/>
      </c>
      <c r="R197" s="237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</row>
    <row r="198">
      <c r="A198" s="238" t="s">
        <v>61</v>
      </c>
      <c r="B198" s="239"/>
      <c r="C198" s="240"/>
      <c r="D198" s="241"/>
      <c r="E198" s="300"/>
      <c r="F198" s="227"/>
      <c r="G198" s="227"/>
      <c r="H198" s="242"/>
      <c r="I198" s="265"/>
      <c r="J198" s="244" t="s">
        <v>61</v>
      </c>
      <c r="K198" s="321">
        <f t="shared" si="12"/>
        <v>192</v>
      </c>
      <c r="L198" s="266"/>
      <c r="M198" s="267"/>
      <c r="N198" s="268"/>
      <c r="O198" s="269"/>
      <c r="P198" s="270"/>
      <c r="Q198" s="236" t="str">
        <f t="shared" si="11"/>
        <v/>
      </c>
      <c r="R198" s="237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</row>
    <row r="199">
      <c r="A199" s="238" t="s">
        <v>61</v>
      </c>
      <c r="B199" s="239"/>
      <c r="C199" s="240"/>
      <c r="D199" s="241"/>
      <c r="E199" s="300"/>
      <c r="F199" s="227"/>
      <c r="G199" s="227"/>
      <c r="H199" s="253"/>
      <c r="I199" s="265"/>
      <c r="J199" s="244" t="s">
        <v>61</v>
      </c>
      <c r="K199" s="321">
        <f t="shared" si="12"/>
        <v>193</v>
      </c>
      <c r="L199" s="266"/>
      <c r="M199" s="267"/>
      <c r="N199" s="268"/>
      <c r="O199" s="269"/>
      <c r="P199" s="270"/>
      <c r="Q199" s="236" t="str">
        <f t="shared" si="11"/>
        <v/>
      </c>
      <c r="R199" s="237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</row>
    <row r="200">
      <c r="A200" s="238" t="s">
        <v>61</v>
      </c>
      <c r="B200" s="239"/>
      <c r="C200" s="240"/>
      <c r="D200" s="241"/>
      <c r="E200" s="300"/>
      <c r="F200" s="227"/>
      <c r="G200" s="227"/>
      <c r="H200" s="242"/>
      <c r="I200" s="265"/>
      <c r="J200" s="244" t="s">
        <v>61</v>
      </c>
      <c r="K200" s="321">
        <f t="shared" si="12"/>
        <v>194</v>
      </c>
      <c r="L200" s="266"/>
      <c r="M200" s="267"/>
      <c r="N200" s="268"/>
      <c r="O200" s="269"/>
      <c r="P200" s="270"/>
      <c r="Q200" s="236" t="str">
        <f t="shared" si="11"/>
        <v/>
      </c>
      <c r="R200" s="237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</row>
    <row r="201">
      <c r="A201" s="238" t="s">
        <v>61</v>
      </c>
      <c r="B201" s="239"/>
      <c r="C201" s="240"/>
      <c r="D201" s="241"/>
      <c r="E201" s="300"/>
      <c r="F201" s="227"/>
      <c r="G201" s="227"/>
      <c r="H201" s="253"/>
      <c r="I201" s="265"/>
      <c r="J201" s="244" t="s">
        <v>61</v>
      </c>
      <c r="K201" s="321">
        <f t="shared" si="12"/>
        <v>195</v>
      </c>
      <c r="L201" s="266"/>
      <c r="M201" s="267"/>
      <c r="N201" s="268"/>
      <c r="O201" s="269"/>
      <c r="P201" s="270"/>
      <c r="Q201" s="236" t="str">
        <f t="shared" si="11"/>
        <v/>
      </c>
      <c r="R201" s="273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</row>
    <row r="202">
      <c r="A202" s="238" t="s">
        <v>61</v>
      </c>
      <c r="B202" s="239"/>
      <c r="C202" s="240"/>
      <c r="D202" s="241"/>
      <c r="E202" s="300"/>
      <c r="F202" s="227"/>
      <c r="G202" s="227"/>
      <c r="H202" s="242"/>
      <c r="I202" s="265"/>
      <c r="J202" s="244" t="s">
        <v>61</v>
      </c>
      <c r="K202" s="321">
        <f t="shared" si="12"/>
        <v>196</v>
      </c>
      <c r="L202" s="266"/>
      <c r="M202" s="267"/>
      <c r="N202" s="227"/>
      <c r="O202" s="234"/>
      <c r="P202" s="235"/>
      <c r="Q202" s="236" t="str">
        <f t="shared" si="11"/>
        <v/>
      </c>
      <c r="R202" s="273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</row>
    <row r="203">
      <c r="A203" s="238" t="s">
        <v>61</v>
      </c>
      <c r="B203" s="239"/>
      <c r="C203" s="240"/>
      <c r="D203" s="241"/>
      <c r="E203" s="300"/>
      <c r="F203" s="227"/>
      <c r="G203" s="227"/>
      <c r="H203" s="253"/>
      <c r="I203" s="265"/>
      <c r="J203" s="244" t="s">
        <v>61</v>
      </c>
      <c r="K203" s="321">
        <f t="shared" si="12"/>
        <v>197</v>
      </c>
      <c r="L203" s="266"/>
      <c r="M203" s="267"/>
      <c r="N203" s="227"/>
      <c r="O203" s="234"/>
      <c r="P203" s="235"/>
      <c r="Q203" s="236" t="str">
        <f t="shared" si="11"/>
        <v/>
      </c>
      <c r="R203" s="273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</row>
    <row r="204">
      <c r="A204" s="238" t="s">
        <v>61</v>
      </c>
      <c r="B204" s="239"/>
      <c r="C204" s="240"/>
      <c r="D204" s="241"/>
      <c r="E204" s="300"/>
      <c r="F204" s="227"/>
      <c r="G204" s="227"/>
      <c r="H204" s="242"/>
      <c r="I204" s="265"/>
      <c r="J204" s="244" t="s">
        <v>61</v>
      </c>
      <c r="K204" s="321">
        <f t="shared" si="12"/>
        <v>198</v>
      </c>
      <c r="L204" s="266"/>
      <c r="M204" s="267"/>
      <c r="N204" s="274"/>
      <c r="O204" s="234"/>
      <c r="P204" s="235"/>
      <c r="Q204" s="236" t="str">
        <f t="shared" si="11"/>
        <v/>
      </c>
      <c r="R204" s="273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</row>
    <row r="205">
      <c r="A205" s="238" t="s">
        <v>61</v>
      </c>
      <c r="B205" s="239"/>
      <c r="C205" s="240"/>
      <c r="D205" s="241"/>
      <c r="E205" s="300"/>
      <c r="F205" s="227"/>
      <c r="G205" s="227"/>
      <c r="H205" s="253"/>
      <c r="I205" s="265"/>
      <c r="J205" s="244" t="s">
        <v>61</v>
      </c>
      <c r="K205" s="321">
        <f t="shared" si="12"/>
        <v>199</v>
      </c>
      <c r="L205" s="266"/>
      <c r="M205" s="267"/>
      <c r="N205" s="274"/>
      <c r="O205" s="234"/>
      <c r="P205" s="235"/>
      <c r="Q205" s="236" t="str">
        <f t="shared" si="11"/>
        <v/>
      </c>
      <c r="R205" s="273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</row>
    <row r="206">
      <c r="A206" s="238" t="s">
        <v>61</v>
      </c>
      <c r="B206" s="239"/>
      <c r="C206" s="240"/>
      <c r="D206" s="241"/>
      <c r="E206" s="300"/>
      <c r="F206" s="227"/>
      <c r="G206" s="227"/>
      <c r="H206" s="242"/>
      <c r="I206" s="265"/>
      <c r="J206" s="244" t="s">
        <v>61</v>
      </c>
      <c r="K206" s="321">
        <f t="shared" si="12"/>
        <v>200</v>
      </c>
      <c r="L206" s="266"/>
      <c r="M206" s="267"/>
      <c r="N206" s="274"/>
      <c r="O206" s="234"/>
      <c r="P206" s="235"/>
      <c r="Q206" s="236" t="str">
        <f t="shared" si="11"/>
        <v/>
      </c>
      <c r="R206" s="273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</row>
    <row r="207">
      <c r="A207" s="238" t="s">
        <v>61</v>
      </c>
      <c r="B207" s="239"/>
      <c r="C207" s="240"/>
      <c r="D207" s="241"/>
      <c r="E207" s="300"/>
      <c r="F207" s="227"/>
      <c r="G207" s="227"/>
      <c r="H207" s="253"/>
      <c r="I207" s="265"/>
      <c r="J207" s="244" t="s">
        <v>61</v>
      </c>
      <c r="K207" s="321">
        <f t="shared" si="12"/>
        <v>201</v>
      </c>
      <c r="L207" s="266"/>
      <c r="M207" s="267"/>
      <c r="N207" s="275"/>
      <c r="O207" s="269"/>
      <c r="P207" s="270"/>
      <c r="Q207" s="236" t="str">
        <f t="shared" si="11"/>
        <v/>
      </c>
      <c r="R207" s="273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</row>
    <row r="208">
      <c r="A208" s="238" t="s">
        <v>61</v>
      </c>
      <c r="B208" s="239"/>
      <c r="C208" s="240"/>
      <c r="D208" s="241"/>
      <c r="E208" s="300"/>
      <c r="F208" s="227"/>
      <c r="G208" s="227"/>
      <c r="H208" s="242"/>
      <c r="I208" s="265"/>
      <c r="J208" s="244" t="s">
        <v>61</v>
      </c>
      <c r="K208" s="321">
        <f t="shared" si="12"/>
        <v>202</v>
      </c>
      <c r="L208" s="266"/>
      <c r="M208" s="267"/>
      <c r="N208" s="275"/>
      <c r="O208" s="269"/>
      <c r="P208" s="270"/>
      <c r="Q208" s="236" t="str">
        <f t="shared" si="11"/>
        <v/>
      </c>
      <c r="R208" s="273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</row>
    <row r="209">
      <c r="A209" s="238" t="s">
        <v>61</v>
      </c>
      <c r="B209" s="239"/>
      <c r="C209" s="240"/>
      <c r="D209" s="241"/>
      <c r="E209" s="300"/>
      <c r="F209" s="227"/>
      <c r="G209" s="227"/>
      <c r="H209" s="253"/>
      <c r="I209" s="265"/>
      <c r="J209" s="244" t="s">
        <v>61</v>
      </c>
      <c r="K209" s="321">
        <f t="shared" si="12"/>
        <v>203</v>
      </c>
      <c r="L209" s="266"/>
      <c r="M209" s="267"/>
      <c r="N209" s="275"/>
      <c r="O209" s="269"/>
      <c r="P209" s="270"/>
      <c r="Q209" s="236" t="str">
        <f t="shared" si="11"/>
        <v/>
      </c>
      <c r="R209" s="273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</row>
    <row r="210">
      <c r="A210" s="238" t="s">
        <v>61</v>
      </c>
      <c r="B210" s="239"/>
      <c r="C210" s="240"/>
      <c r="D210" s="241"/>
      <c r="E210" s="300"/>
      <c r="F210" s="227"/>
      <c r="G210" s="227"/>
      <c r="H210" s="242"/>
      <c r="I210" s="265"/>
      <c r="J210" s="244" t="s">
        <v>61</v>
      </c>
      <c r="K210" s="321">
        <f t="shared" si="12"/>
        <v>204</v>
      </c>
      <c r="L210" s="266"/>
      <c r="M210" s="267"/>
      <c r="N210" s="274"/>
      <c r="O210" s="269"/>
      <c r="P210" s="235"/>
      <c r="Q210" s="236" t="str">
        <f t="shared" si="11"/>
        <v/>
      </c>
      <c r="R210" s="273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</row>
    <row r="211">
      <c r="A211" s="276" t="s">
        <v>61</v>
      </c>
      <c r="B211" s="306"/>
      <c r="C211" s="307"/>
      <c r="D211" s="308"/>
      <c r="E211" s="309"/>
      <c r="F211" s="277"/>
      <c r="G211" s="277"/>
      <c r="H211" s="278"/>
      <c r="I211" s="265"/>
      <c r="J211" s="279" t="s">
        <v>61</v>
      </c>
      <c r="K211" s="322">
        <f t="shared" si="12"/>
        <v>205</v>
      </c>
      <c r="L211" s="311"/>
      <c r="M211" s="280"/>
      <c r="N211" s="281"/>
      <c r="O211" s="282"/>
      <c r="P211" s="283"/>
      <c r="Q211" s="236" t="str">
        <f t="shared" si="11"/>
        <v/>
      </c>
      <c r="R211" s="28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</row>
    <row r="212">
      <c r="A212" s="115"/>
      <c r="B212" s="312"/>
      <c r="C212" s="313"/>
      <c r="D212" s="314"/>
      <c r="E212" s="315"/>
      <c r="F212" s="122"/>
      <c r="G212" s="122"/>
      <c r="H212" s="265"/>
      <c r="I212" s="265"/>
      <c r="J212" s="115"/>
      <c r="K212" s="288"/>
      <c r="L212" s="265"/>
      <c r="M212" s="265"/>
      <c r="N212" s="115"/>
      <c r="O212" s="290"/>
      <c r="P212" s="316"/>
      <c r="Q212" s="323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</row>
    <row r="213">
      <c r="A213" s="221" t="s">
        <v>62</v>
      </c>
      <c r="B213" s="222" t="s">
        <v>116</v>
      </c>
      <c r="C213" s="223">
        <v>44352.0</v>
      </c>
      <c r="D213" s="224" t="s">
        <v>231</v>
      </c>
      <c r="E213" s="326">
        <v>414.63</v>
      </c>
      <c r="F213" s="226" t="s">
        <v>14</v>
      </c>
      <c r="G213" s="226" t="s">
        <v>16</v>
      </c>
      <c r="H213" s="325" t="s">
        <v>17</v>
      </c>
      <c r="I213" s="265"/>
      <c r="J213" s="230" t="s">
        <v>62</v>
      </c>
      <c r="K213" s="293">
        <f>K211+1</f>
        <v>206</v>
      </c>
      <c r="L213" s="226" t="s">
        <v>85</v>
      </c>
      <c r="M213" s="294">
        <v>44359.0</v>
      </c>
      <c r="N213" s="295" t="s">
        <v>255</v>
      </c>
      <c r="O213" s="296">
        <v>17.0</v>
      </c>
      <c r="P213" s="297">
        <v>1.0</v>
      </c>
      <c r="Q213" s="236">
        <f t="shared" ref="Q213:Q253" si="13">iferror($O213/$P213,"")</f>
        <v>17</v>
      </c>
      <c r="R213" s="299" t="s">
        <v>14</v>
      </c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</row>
    <row r="214">
      <c r="A214" s="238" t="s">
        <v>62</v>
      </c>
      <c r="B214" s="239" t="s">
        <v>85</v>
      </c>
      <c r="C214" s="240">
        <v>44352.0</v>
      </c>
      <c r="D214" s="241" t="s">
        <v>264</v>
      </c>
      <c r="E214" s="327">
        <v>84.96</v>
      </c>
      <c r="F214" s="227" t="s">
        <v>14</v>
      </c>
      <c r="G214" s="227" t="s">
        <v>16</v>
      </c>
      <c r="H214" s="242"/>
      <c r="I214" s="265"/>
      <c r="J214" s="244" t="s">
        <v>62</v>
      </c>
      <c r="K214" s="245">
        <f t="shared" ref="K214:K253" si="14">K213+1</f>
        <v>207</v>
      </c>
      <c r="L214" s="246" t="s">
        <v>85</v>
      </c>
      <c r="M214" s="247">
        <v>44374.0</v>
      </c>
      <c r="N214" s="248" t="s">
        <v>182</v>
      </c>
      <c r="O214" s="249">
        <v>47.0</v>
      </c>
      <c r="P214" s="250">
        <v>1.0</v>
      </c>
      <c r="Q214" s="236">
        <f t="shared" si="13"/>
        <v>47</v>
      </c>
      <c r="R214" s="237" t="s">
        <v>27</v>
      </c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</row>
    <row r="215">
      <c r="A215" s="238" t="s">
        <v>62</v>
      </c>
      <c r="B215" s="239" t="s">
        <v>118</v>
      </c>
      <c r="C215" s="240">
        <v>44356.0</v>
      </c>
      <c r="D215" s="241" t="s">
        <v>135</v>
      </c>
      <c r="E215" s="327">
        <v>75.9</v>
      </c>
      <c r="F215" s="227" t="s">
        <v>14</v>
      </c>
      <c r="G215" s="227" t="s">
        <v>16</v>
      </c>
      <c r="H215" s="253"/>
      <c r="I215" s="265"/>
      <c r="J215" s="244" t="s">
        <v>62</v>
      </c>
      <c r="K215" s="245">
        <f t="shared" si="14"/>
        <v>208</v>
      </c>
      <c r="L215" s="246" t="s">
        <v>85</v>
      </c>
      <c r="M215" s="247">
        <v>44371.0</v>
      </c>
      <c r="N215" s="248" t="s">
        <v>265</v>
      </c>
      <c r="O215" s="249">
        <v>48.0</v>
      </c>
      <c r="P215" s="250">
        <v>1.0</v>
      </c>
      <c r="Q215" s="236">
        <f t="shared" si="13"/>
        <v>48</v>
      </c>
      <c r="R215" s="237" t="s">
        <v>27</v>
      </c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</row>
    <row r="216">
      <c r="A216" s="238" t="s">
        <v>62</v>
      </c>
      <c r="B216" s="239" t="s">
        <v>118</v>
      </c>
      <c r="C216" s="240">
        <v>44356.0</v>
      </c>
      <c r="D216" s="241" t="s">
        <v>236</v>
      </c>
      <c r="E216" s="327">
        <v>100.0</v>
      </c>
      <c r="F216" s="227" t="s">
        <v>24</v>
      </c>
      <c r="G216" s="227" t="s">
        <v>26</v>
      </c>
      <c r="H216" s="272"/>
      <c r="I216" s="265"/>
      <c r="J216" s="244" t="s">
        <v>62</v>
      </c>
      <c r="K216" s="245">
        <f t="shared" si="14"/>
        <v>209</v>
      </c>
      <c r="L216" s="254" t="s">
        <v>85</v>
      </c>
      <c r="M216" s="247">
        <v>44380.0</v>
      </c>
      <c r="N216" s="248" t="s">
        <v>238</v>
      </c>
      <c r="O216" s="249">
        <v>10.0</v>
      </c>
      <c r="P216" s="250">
        <v>1.0</v>
      </c>
      <c r="Q216" s="236">
        <f t="shared" si="13"/>
        <v>10</v>
      </c>
      <c r="R216" s="237" t="s">
        <v>14</v>
      </c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</row>
    <row r="217">
      <c r="A217" s="238" t="s">
        <v>62</v>
      </c>
      <c r="B217" s="239" t="s">
        <v>118</v>
      </c>
      <c r="C217" s="240">
        <v>44356.0</v>
      </c>
      <c r="D217" s="241" t="s">
        <v>266</v>
      </c>
      <c r="E217" s="300">
        <v>150.0</v>
      </c>
      <c r="F217" s="227" t="s">
        <v>14</v>
      </c>
      <c r="G217" s="227" t="s">
        <v>16</v>
      </c>
      <c r="H217" s="253"/>
      <c r="I217" s="265"/>
      <c r="J217" s="244" t="s">
        <v>62</v>
      </c>
      <c r="K217" s="317">
        <f t="shared" si="14"/>
        <v>210</v>
      </c>
      <c r="L217" s="256"/>
      <c r="M217" s="257"/>
      <c r="N217" s="258"/>
      <c r="O217" s="252"/>
      <c r="P217" s="259"/>
      <c r="Q217" s="236" t="str">
        <f t="shared" si="13"/>
        <v/>
      </c>
      <c r="R217" s="237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</row>
    <row r="218">
      <c r="A218" s="238" t="s">
        <v>62</v>
      </c>
      <c r="B218" s="239" t="s">
        <v>118</v>
      </c>
      <c r="C218" s="240">
        <v>44356.0</v>
      </c>
      <c r="D218" s="241" t="s">
        <v>266</v>
      </c>
      <c r="E218" s="300">
        <v>100.0</v>
      </c>
      <c r="F218" s="227" t="s">
        <v>24</v>
      </c>
      <c r="G218" s="227" t="s">
        <v>26</v>
      </c>
      <c r="H218" s="242"/>
      <c r="I218" s="265"/>
      <c r="J218" s="244" t="s">
        <v>62</v>
      </c>
      <c r="K218" s="317">
        <f t="shared" si="14"/>
        <v>211</v>
      </c>
      <c r="L218" s="256"/>
      <c r="M218" s="257"/>
      <c r="N218" s="258"/>
      <c r="O218" s="252"/>
      <c r="P218" s="259"/>
      <c r="Q218" s="236" t="str">
        <f t="shared" si="13"/>
        <v/>
      </c>
      <c r="R218" s="237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</row>
    <row r="219">
      <c r="A219" s="238" t="s">
        <v>62</v>
      </c>
      <c r="B219" s="239" t="s">
        <v>95</v>
      </c>
      <c r="C219" s="240">
        <v>44357.0</v>
      </c>
      <c r="D219" s="241" t="s">
        <v>267</v>
      </c>
      <c r="E219" s="300">
        <v>200.0</v>
      </c>
      <c r="F219" s="227" t="s">
        <v>14</v>
      </c>
      <c r="G219" s="227" t="s">
        <v>16</v>
      </c>
      <c r="H219" s="253"/>
      <c r="I219" s="265"/>
      <c r="J219" s="244" t="s">
        <v>62</v>
      </c>
      <c r="K219" s="317">
        <f t="shared" si="14"/>
        <v>212</v>
      </c>
      <c r="L219" s="256"/>
      <c r="M219" s="257"/>
      <c r="N219" s="258"/>
      <c r="O219" s="252"/>
      <c r="P219" s="259"/>
      <c r="Q219" s="236" t="str">
        <f t="shared" si="13"/>
        <v/>
      </c>
      <c r="R219" s="237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</row>
    <row r="220">
      <c r="A220" s="238" t="s">
        <v>62</v>
      </c>
      <c r="B220" s="239" t="s">
        <v>118</v>
      </c>
      <c r="C220" s="240">
        <v>44358.0</v>
      </c>
      <c r="D220" s="241" t="s">
        <v>262</v>
      </c>
      <c r="E220" s="300">
        <v>50.0</v>
      </c>
      <c r="F220" s="227" t="s">
        <v>24</v>
      </c>
      <c r="G220" s="227" t="s">
        <v>26</v>
      </c>
      <c r="H220" s="242"/>
      <c r="I220" s="265"/>
      <c r="J220" s="244" t="s">
        <v>62</v>
      </c>
      <c r="K220" s="317">
        <f t="shared" si="14"/>
        <v>213</v>
      </c>
      <c r="L220" s="256"/>
      <c r="M220" s="257"/>
      <c r="N220" s="258"/>
      <c r="O220" s="252"/>
      <c r="P220" s="259"/>
      <c r="Q220" s="236" t="str">
        <f t="shared" si="13"/>
        <v/>
      </c>
      <c r="R220" s="237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</row>
    <row r="221">
      <c r="A221" s="238" t="s">
        <v>62</v>
      </c>
      <c r="B221" s="239" t="s">
        <v>120</v>
      </c>
      <c r="C221" s="240">
        <v>44360.0</v>
      </c>
      <c r="D221" s="241" t="s">
        <v>268</v>
      </c>
      <c r="E221" s="300">
        <v>123.02</v>
      </c>
      <c r="F221" s="227" t="s">
        <v>14</v>
      </c>
      <c r="G221" s="227" t="s">
        <v>16</v>
      </c>
      <c r="H221" s="251"/>
      <c r="I221" s="115"/>
      <c r="J221" s="244" t="s">
        <v>62</v>
      </c>
      <c r="K221" s="317">
        <f t="shared" si="14"/>
        <v>214</v>
      </c>
      <c r="L221" s="256"/>
      <c r="M221" s="257"/>
      <c r="N221" s="258"/>
      <c r="O221" s="252"/>
      <c r="P221" s="259"/>
      <c r="Q221" s="236" t="str">
        <f t="shared" si="13"/>
        <v/>
      </c>
      <c r="R221" s="237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</row>
    <row r="222">
      <c r="A222" s="238" t="s">
        <v>62</v>
      </c>
      <c r="B222" s="239" t="s">
        <v>85</v>
      </c>
      <c r="C222" s="240">
        <v>44365.0</v>
      </c>
      <c r="D222" s="241" t="s">
        <v>269</v>
      </c>
      <c r="E222" s="300">
        <v>28.0</v>
      </c>
      <c r="F222" s="227" t="s">
        <v>14</v>
      </c>
      <c r="G222" s="227" t="s">
        <v>16</v>
      </c>
      <c r="H222" s="272"/>
      <c r="I222" s="115"/>
      <c r="J222" s="244" t="s">
        <v>62</v>
      </c>
      <c r="K222" s="317">
        <f t="shared" si="14"/>
        <v>215</v>
      </c>
      <c r="L222" s="256"/>
      <c r="M222" s="257"/>
      <c r="N222" s="258"/>
      <c r="O222" s="252"/>
      <c r="P222" s="259"/>
      <c r="Q222" s="236" t="str">
        <f t="shared" si="13"/>
        <v/>
      </c>
      <c r="R222" s="237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</row>
    <row r="223">
      <c r="A223" s="238" t="s">
        <v>62</v>
      </c>
      <c r="B223" s="239" t="s">
        <v>102</v>
      </c>
      <c r="C223" s="240">
        <v>44369.0</v>
      </c>
      <c r="D223" s="241" t="s">
        <v>270</v>
      </c>
      <c r="E223" s="300">
        <v>7.54</v>
      </c>
      <c r="F223" s="227" t="s">
        <v>14</v>
      </c>
      <c r="G223" s="304" t="s">
        <v>16</v>
      </c>
      <c r="H223" s="253"/>
      <c r="I223" s="115"/>
      <c r="J223" s="244" t="s">
        <v>62</v>
      </c>
      <c r="K223" s="317">
        <f t="shared" si="14"/>
        <v>216</v>
      </c>
      <c r="L223" s="256"/>
      <c r="M223" s="257"/>
      <c r="N223" s="258"/>
      <c r="O223" s="252"/>
      <c r="P223" s="259"/>
      <c r="Q223" s="236" t="str">
        <f t="shared" si="13"/>
        <v/>
      </c>
      <c r="R223" s="237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</row>
    <row r="224">
      <c r="A224" s="238" t="s">
        <v>62</v>
      </c>
      <c r="B224" s="239" t="s">
        <v>118</v>
      </c>
      <c r="C224" s="240">
        <v>44370.0</v>
      </c>
      <c r="D224" s="241" t="s">
        <v>136</v>
      </c>
      <c r="E224" s="300">
        <v>100.0</v>
      </c>
      <c r="F224" s="227" t="s">
        <v>24</v>
      </c>
      <c r="G224" s="227" t="s">
        <v>26</v>
      </c>
      <c r="H224" s="242"/>
      <c r="I224" s="115"/>
      <c r="J224" s="244" t="s">
        <v>62</v>
      </c>
      <c r="K224" s="317">
        <f t="shared" si="14"/>
        <v>217</v>
      </c>
      <c r="L224" s="256"/>
      <c r="M224" s="257"/>
      <c r="N224" s="258"/>
      <c r="O224" s="252"/>
      <c r="P224" s="259"/>
      <c r="Q224" s="236" t="str">
        <f t="shared" si="13"/>
        <v/>
      </c>
      <c r="R224" s="237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</row>
    <row r="225">
      <c r="A225" s="238" t="s">
        <v>62</v>
      </c>
      <c r="B225" s="239" t="s">
        <v>95</v>
      </c>
      <c r="C225" s="240">
        <v>44370.0</v>
      </c>
      <c r="D225" s="241" t="s">
        <v>149</v>
      </c>
      <c r="E225" s="300">
        <v>500.0</v>
      </c>
      <c r="F225" s="227" t="s">
        <v>14</v>
      </c>
      <c r="G225" s="227" t="s">
        <v>16</v>
      </c>
      <c r="H225" s="253"/>
      <c r="I225" s="115"/>
      <c r="J225" s="244" t="s">
        <v>62</v>
      </c>
      <c r="K225" s="317">
        <f t="shared" si="14"/>
        <v>218</v>
      </c>
      <c r="L225" s="256"/>
      <c r="M225" s="257"/>
      <c r="N225" s="258"/>
      <c r="O225" s="252"/>
      <c r="P225" s="259"/>
      <c r="Q225" s="236" t="str">
        <f t="shared" si="13"/>
        <v/>
      </c>
      <c r="R225" s="237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</row>
    <row r="226">
      <c r="A226" s="238" t="s">
        <v>62</v>
      </c>
      <c r="B226" s="239" t="s">
        <v>85</v>
      </c>
      <c r="C226" s="240">
        <v>44370.0</v>
      </c>
      <c r="D226" s="241" t="s">
        <v>182</v>
      </c>
      <c r="E226" s="300">
        <v>16.5</v>
      </c>
      <c r="F226" s="227" t="s">
        <v>14</v>
      </c>
      <c r="G226" s="227" t="s">
        <v>16</v>
      </c>
      <c r="H226" s="242"/>
      <c r="I226" s="115"/>
      <c r="J226" s="244" t="s">
        <v>62</v>
      </c>
      <c r="K226" s="317">
        <f t="shared" si="14"/>
        <v>219</v>
      </c>
      <c r="L226" s="256"/>
      <c r="M226" s="257"/>
      <c r="N226" s="258"/>
      <c r="O226" s="252"/>
      <c r="P226" s="259"/>
      <c r="Q226" s="236" t="str">
        <f t="shared" si="13"/>
        <v/>
      </c>
      <c r="R226" s="237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</row>
    <row r="227">
      <c r="A227" s="238" t="s">
        <v>62</v>
      </c>
      <c r="B227" s="239" t="s">
        <v>102</v>
      </c>
      <c r="C227" s="240">
        <v>44371.0</v>
      </c>
      <c r="D227" s="241" t="s">
        <v>270</v>
      </c>
      <c r="E227" s="300">
        <v>11.95</v>
      </c>
      <c r="F227" s="227" t="s">
        <v>14</v>
      </c>
      <c r="G227" s="227" t="s">
        <v>16</v>
      </c>
      <c r="H227" s="253"/>
      <c r="I227" s="115"/>
      <c r="J227" s="244" t="s">
        <v>62</v>
      </c>
      <c r="K227" s="317">
        <f t="shared" si="14"/>
        <v>220</v>
      </c>
      <c r="L227" s="256"/>
      <c r="M227" s="257"/>
      <c r="N227" s="258"/>
      <c r="O227" s="252"/>
      <c r="P227" s="259"/>
      <c r="Q227" s="236" t="str">
        <f t="shared" si="13"/>
        <v/>
      </c>
      <c r="R227" s="237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</row>
    <row r="228">
      <c r="A228" s="238" t="s">
        <v>62</v>
      </c>
      <c r="B228" s="239" t="s">
        <v>102</v>
      </c>
      <c r="C228" s="240">
        <v>44371.0</v>
      </c>
      <c r="D228" s="241" t="s">
        <v>270</v>
      </c>
      <c r="E228" s="300">
        <v>10.97</v>
      </c>
      <c r="F228" s="227" t="s">
        <v>14</v>
      </c>
      <c r="G228" s="304" t="s">
        <v>16</v>
      </c>
      <c r="H228" s="242"/>
      <c r="I228" s="115"/>
      <c r="J228" s="244" t="s">
        <v>62</v>
      </c>
      <c r="K228" s="317">
        <f t="shared" si="14"/>
        <v>221</v>
      </c>
      <c r="L228" s="256"/>
      <c r="M228" s="257"/>
      <c r="N228" s="258"/>
      <c r="O228" s="252"/>
      <c r="P228" s="259"/>
      <c r="Q228" s="236" t="str">
        <f t="shared" si="13"/>
        <v/>
      </c>
      <c r="R228" s="237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</row>
    <row r="229">
      <c r="A229" s="238" t="s">
        <v>62</v>
      </c>
      <c r="B229" s="239" t="s">
        <v>118</v>
      </c>
      <c r="C229" s="240">
        <v>44377.0</v>
      </c>
      <c r="D229" s="241" t="s">
        <v>208</v>
      </c>
      <c r="E229" s="300">
        <v>50.0</v>
      </c>
      <c r="F229" s="227" t="s">
        <v>24</v>
      </c>
      <c r="G229" s="227" t="s">
        <v>26</v>
      </c>
      <c r="H229" s="253"/>
      <c r="I229" s="115"/>
      <c r="J229" s="244" t="s">
        <v>62</v>
      </c>
      <c r="K229" s="317">
        <f t="shared" si="14"/>
        <v>222</v>
      </c>
      <c r="L229" s="256"/>
      <c r="M229" s="257"/>
      <c r="N229" s="258"/>
      <c r="O229" s="252"/>
      <c r="P229" s="259"/>
      <c r="Q229" s="236" t="str">
        <f t="shared" si="13"/>
        <v/>
      </c>
      <c r="R229" s="237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</row>
    <row r="230">
      <c r="A230" s="238" t="s">
        <v>62</v>
      </c>
      <c r="B230" s="239"/>
      <c r="C230" s="240"/>
      <c r="D230" s="241"/>
      <c r="E230" s="300"/>
      <c r="F230" s="227"/>
      <c r="G230" s="304"/>
      <c r="H230" s="242"/>
      <c r="I230" s="115"/>
      <c r="J230" s="244" t="s">
        <v>62</v>
      </c>
      <c r="K230" s="317">
        <f t="shared" si="14"/>
        <v>223</v>
      </c>
      <c r="L230" s="256"/>
      <c r="M230" s="257"/>
      <c r="N230" s="258"/>
      <c r="O230" s="252"/>
      <c r="P230" s="259"/>
      <c r="Q230" s="236" t="str">
        <f t="shared" si="13"/>
        <v/>
      </c>
      <c r="R230" s="237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</row>
    <row r="231">
      <c r="A231" s="238" t="s">
        <v>62</v>
      </c>
      <c r="B231" s="239"/>
      <c r="C231" s="240"/>
      <c r="D231" s="241"/>
      <c r="E231" s="300"/>
      <c r="F231" s="227"/>
      <c r="G231" s="304"/>
      <c r="H231" s="253"/>
      <c r="I231" s="115"/>
      <c r="J231" s="244" t="s">
        <v>62</v>
      </c>
      <c r="K231" s="317">
        <f t="shared" si="14"/>
        <v>224</v>
      </c>
      <c r="L231" s="256"/>
      <c r="M231" s="257"/>
      <c r="N231" s="258"/>
      <c r="O231" s="252"/>
      <c r="P231" s="259"/>
      <c r="Q231" s="236" t="str">
        <f t="shared" si="13"/>
        <v/>
      </c>
      <c r="R231" s="237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</row>
    <row r="232">
      <c r="A232" s="238" t="s">
        <v>62</v>
      </c>
      <c r="B232" s="239"/>
      <c r="C232" s="240"/>
      <c r="D232" s="241"/>
      <c r="E232" s="300"/>
      <c r="F232" s="227"/>
      <c r="G232" s="304"/>
      <c r="H232" s="242"/>
      <c r="I232" s="115"/>
      <c r="J232" s="244" t="s">
        <v>62</v>
      </c>
      <c r="K232" s="317">
        <f t="shared" si="14"/>
        <v>225</v>
      </c>
      <c r="L232" s="256"/>
      <c r="M232" s="257"/>
      <c r="N232" s="258"/>
      <c r="O232" s="252"/>
      <c r="P232" s="259"/>
      <c r="Q232" s="236" t="str">
        <f t="shared" si="13"/>
        <v/>
      </c>
      <c r="R232" s="237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</row>
    <row r="233">
      <c r="A233" s="238" t="s">
        <v>62</v>
      </c>
      <c r="B233" s="239"/>
      <c r="C233" s="240"/>
      <c r="D233" s="241"/>
      <c r="E233" s="300"/>
      <c r="F233" s="227"/>
      <c r="G233" s="304"/>
      <c r="H233" s="253"/>
      <c r="I233" s="115"/>
      <c r="J233" s="244" t="s">
        <v>62</v>
      </c>
      <c r="K233" s="317">
        <f t="shared" si="14"/>
        <v>226</v>
      </c>
      <c r="L233" s="256"/>
      <c r="M233" s="257"/>
      <c r="N233" s="258"/>
      <c r="O233" s="252"/>
      <c r="P233" s="259"/>
      <c r="Q233" s="236" t="str">
        <f t="shared" si="13"/>
        <v/>
      </c>
      <c r="R233" s="237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</row>
    <row r="234">
      <c r="A234" s="238" t="s">
        <v>62</v>
      </c>
      <c r="B234" s="239"/>
      <c r="C234" s="240"/>
      <c r="D234" s="241"/>
      <c r="E234" s="300"/>
      <c r="F234" s="227"/>
      <c r="G234" s="304"/>
      <c r="H234" s="242"/>
      <c r="I234" s="115"/>
      <c r="J234" s="244" t="s">
        <v>62</v>
      </c>
      <c r="K234" s="317">
        <f t="shared" si="14"/>
        <v>227</v>
      </c>
      <c r="L234" s="256"/>
      <c r="M234" s="257"/>
      <c r="N234" s="258"/>
      <c r="O234" s="252"/>
      <c r="P234" s="259"/>
      <c r="Q234" s="236" t="str">
        <f t="shared" si="13"/>
        <v/>
      </c>
      <c r="R234" s="237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</row>
    <row r="235">
      <c r="A235" s="238" t="s">
        <v>62</v>
      </c>
      <c r="B235" s="239"/>
      <c r="C235" s="240"/>
      <c r="D235" s="241"/>
      <c r="E235" s="300"/>
      <c r="F235" s="227"/>
      <c r="G235" s="304"/>
      <c r="H235" s="253"/>
      <c r="I235" s="115"/>
      <c r="J235" s="244" t="s">
        <v>62</v>
      </c>
      <c r="K235" s="317">
        <f t="shared" si="14"/>
        <v>228</v>
      </c>
      <c r="L235" s="256"/>
      <c r="M235" s="257"/>
      <c r="N235" s="258"/>
      <c r="O235" s="252"/>
      <c r="P235" s="259"/>
      <c r="Q235" s="236" t="str">
        <f t="shared" si="13"/>
        <v/>
      </c>
      <c r="R235" s="237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</row>
    <row r="236">
      <c r="A236" s="238" t="s">
        <v>62</v>
      </c>
      <c r="B236" s="239"/>
      <c r="C236" s="240"/>
      <c r="D236" s="241"/>
      <c r="E236" s="300"/>
      <c r="F236" s="227"/>
      <c r="G236" s="304"/>
      <c r="H236" s="242"/>
      <c r="I236" s="115"/>
      <c r="J236" s="244" t="s">
        <v>62</v>
      </c>
      <c r="K236" s="317">
        <f t="shared" si="14"/>
        <v>229</v>
      </c>
      <c r="L236" s="256"/>
      <c r="M236" s="257"/>
      <c r="N236" s="258"/>
      <c r="O236" s="252"/>
      <c r="P236" s="259"/>
      <c r="Q236" s="236" t="str">
        <f t="shared" si="13"/>
        <v/>
      </c>
      <c r="R236" s="237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</row>
    <row r="237">
      <c r="A237" s="238" t="s">
        <v>62</v>
      </c>
      <c r="B237" s="239"/>
      <c r="C237" s="240"/>
      <c r="D237" s="241"/>
      <c r="E237" s="300"/>
      <c r="F237" s="227"/>
      <c r="G237" s="227"/>
      <c r="H237" s="253"/>
      <c r="I237" s="115"/>
      <c r="J237" s="244" t="s">
        <v>62</v>
      </c>
      <c r="K237" s="321">
        <f t="shared" si="14"/>
        <v>230</v>
      </c>
      <c r="L237" s="266"/>
      <c r="M237" s="267"/>
      <c r="N237" s="268"/>
      <c r="O237" s="269"/>
      <c r="P237" s="270"/>
      <c r="Q237" s="236" t="str">
        <f t="shared" si="13"/>
        <v/>
      </c>
      <c r="R237" s="237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</row>
    <row r="238">
      <c r="A238" s="238" t="s">
        <v>62</v>
      </c>
      <c r="B238" s="239"/>
      <c r="C238" s="240"/>
      <c r="D238" s="241"/>
      <c r="E238" s="300"/>
      <c r="F238" s="227"/>
      <c r="G238" s="227"/>
      <c r="H238" s="242"/>
      <c r="I238" s="115"/>
      <c r="J238" s="244" t="s">
        <v>62</v>
      </c>
      <c r="K238" s="321">
        <f t="shared" si="14"/>
        <v>231</v>
      </c>
      <c r="L238" s="266"/>
      <c r="M238" s="267"/>
      <c r="N238" s="268"/>
      <c r="O238" s="269"/>
      <c r="P238" s="270"/>
      <c r="Q238" s="236" t="str">
        <f t="shared" si="13"/>
        <v/>
      </c>
      <c r="R238" s="237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</row>
    <row r="239">
      <c r="A239" s="238" t="s">
        <v>62</v>
      </c>
      <c r="B239" s="239"/>
      <c r="C239" s="240"/>
      <c r="D239" s="241"/>
      <c r="E239" s="300"/>
      <c r="F239" s="227"/>
      <c r="G239" s="227"/>
      <c r="H239" s="253"/>
      <c r="I239" s="115"/>
      <c r="J239" s="244" t="s">
        <v>62</v>
      </c>
      <c r="K239" s="321">
        <f t="shared" si="14"/>
        <v>232</v>
      </c>
      <c r="L239" s="266"/>
      <c r="M239" s="267"/>
      <c r="N239" s="268"/>
      <c r="O239" s="269"/>
      <c r="P239" s="270"/>
      <c r="Q239" s="236" t="str">
        <f t="shared" si="13"/>
        <v/>
      </c>
      <c r="R239" s="237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</row>
    <row r="240">
      <c r="A240" s="238" t="s">
        <v>62</v>
      </c>
      <c r="B240" s="239"/>
      <c r="C240" s="240"/>
      <c r="D240" s="241"/>
      <c r="E240" s="300"/>
      <c r="F240" s="227"/>
      <c r="G240" s="227"/>
      <c r="H240" s="242"/>
      <c r="I240" s="115"/>
      <c r="J240" s="244" t="s">
        <v>62</v>
      </c>
      <c r="K240" s="321">
        <f t="shared" si="14"/>
        <v>233</v>
      </c>
      <c r="L240" s="266"/>
      <c r="M240" s="267"/>
      <c r="N240" s="268"/>
      <c r="O240" s="269"/>
      <c r="P240" s="270"/>
      <c r="Q240" s="236" t="str">
        <f t="shared" si="13"/>
        <v/>
      </c>
      <c r="R240" s="237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</row>
    <row r="241">
      <c r="A241" s="238" t="s">
        <v>62</v>
      </c>
      <c r="B241" s="239"/>
      <c r="C241" s="240"/>
      <c r="D241" s="241"/>
      <c r="E241" s="300"/>
      <c r="F241" s="227"/>
      <c r="G241" s="227"/>
      <c r="H241" s="253"/>
      <c r="I241" s="115"/>
      <c r="J241" s="244" t="s">
        <v>62</v>
      </c>
      <c r="K241" s="321">
        <f t="shared" si="14"/>
        <v>234</v>
      </c>
      <c r="L241" s="266"/>
      <c r="M241" s="267"/>
      <c r="N241" s="268"/>
      <c r="O241" s="269"/>
      <c r="P241" s="270"/>
      <c r="Q241" s="236" t="str">
        <f t="shared" si="13"/>
        <v/>
      </c>
      <c r="R241" s="237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</row>
    <row r="242">
      <c r="A242" s="238" t="s">
        <v>62</v>
      </c>
      <c r="B242" s="239"/>
      <c r="C242" s="240"/>
      <c r="D242" s="241"/>
      <c r="E242" s="300"/>
      <c r="F242" s="227"/>
      <c r="G242" s="227"/>
      <c r="H242" s="242"/>
      <c r="I242" s="115"/>
      <c r="J242" s="244" t="s">
        <v>62</v>
      </c>
      <c r="K242" s="321">
        <f t="shared" si="14"/>
        <v>235</v>
      </c>
      <c r="L242" s="266"/>
      <c r="M242" s="267"/>
      <c r="N242" s="268"/>
      <c r="O242" s="269"/>
      <c r="P242" s="270"/>
      <c r="Q242" s="236" t="str">
        <f t="shared" si="13"/>
        <v/>
      </c>
      <c r="R242" s="237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</row>
    <row r="243">
      <c r="A243" s="238" t="s">
        <v>62</v>
      </c>
      <c r="B243" s="239"/>
      <c r="C243" s="240"/>
      <c r="D243" s="241"/>
      <c r="E243" s="300"/>
      <c r="F243" s="227"/>
      <c r="G243" s="227"/>
      <c r="H243" s="253"/>
      <c r="I243" s="115"/>
      <c r="J243" s="244" t="s">
        <v>62</v>
      </c>
      <c r="K243" s="321">
        <f t="shared" si="14"/>
        <v>236</v>
      </c>
      <c r="L243" s="266"/>
      <c r="M243" s="267"/>
      <c r="N243" s="268"/>
      <c r="O243" s="269"/>
      <c r="P243" s="270"/>
      <c r="Q243" s="236" t="str">
        <f t="shared" si="13"/>
        <v/>
      </c>
      <c r="R243" s="273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</row>
    <row r="244">
      <c r="A244" s="238" t="s">
        <v>62</v>
      </c>
      <c r="B244" s="239"/>
      <c r="C244" s="240"/>
      <c r="D244" s="241"/>
      <c r="E244" s="300"/>
      <c r="F244" s="227"/>
      <c r="G244" s="227"/>
      <c r="H244" s="242"/>
      <c r="I244" s="115"/>
      <c r="J244" s="244" t="s">
        <v>62</v>
      </c>
      <c r="K244" s="321">
        <f t="shared" si="14"/>
        <v>237</v>
      </c>
      <c r="L244" s="266"/>
      <c r="M244" s="267"/>
      <c r="N244" s="227"/>
      <c r="O244" s="234"/>
      <c r="P244" s="235"/>
      <c r="Q244" s="236" t="str">
        <f t="shared" si="13"/>
        <v/>
      </c>
      <c r="R244" s="273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</row>
    <row r="245">
      <c r="A245" s="238" t="s">
        <v>62</v>
      </c>
      <c r="B245" s="239"/>
      <c r="C245" s="240"/>
      <c r="D245" s="241"/>
      <c r="E245" s="300"/>
      <c r="F245" s="227"/>
      <c r="G245" s="227"/>
      <c r="H245" s="253"/>
      <c r="I245" s="115"/>
      <c r="J245" s="244" t="s">
        <v>62</v>
      </c>
      <c r="K245" s="321">
        <f t="shared" si="14"/>
        <v>238</v>
      </c>
      <c r="L245" s="266"/>
      <c r="M245" s="267"/>
      <c r="N245" s="227"/>
      <c r="O245" s="234"/>
      <c r="P245" s="235"/>
      <c r="Q245" s="236" t="str">
        <f t="shared" si="13"/>
        <v/>
      </c>
      <c r="R245" s="273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</row>
    <row r="246">
      <c r="A246" s="238" t="s">
        <v>62</v>
      </c>
      <c r="B246" s="239"/>
      <c r="C246" s="240"/>
      <c r="D246" s="241"/>
      <c r="E246" s="300"/>
      <c r="F246" s="227"/>
      <c r="G246" s="227"/>
      <c r="H246" s="242"/>
      <c r="I246" s="115"/>
      <c r="J246" s="244" t="s">
        <v>62</v>
      </c>
      <c r="K246" s="321">
        <f t="shared" si="14"/>
        <v>239</v>
      </c>
      <c r="L246" s="266"/>
      <c r="M246" s="267"/>
      <c r="N246" s="274"/>
      <c r="O246" s="234"/>
      <c r="P246" s="235"/>
      <c r="Q246" s="236" t="str">
        <f t="shared" si="13"/>
        <v/>
      </c>
      <c r="R246" s="273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</row>
    <row r="247">
      <c r="A247" s="238" t="s">
        <v>62</v>
      </c>
      <c r="B247" s="239"/>
      <c r="C247" s="240"/>
      <c r="D247" s="241"/>
      <c r="E247" s="300"/>
      <c r="F247" s="227"/>
      <c r="G247" s="227"/>
      <c r="H247" s="253"/>
      <c r="I247" s="115"/>
      <c r="J247" s="244" t="s">
        <v>62</v>
      </c>
      <c r="K247" s="321">
        <f t="shared" si="14"/>
        <v>240</v>
      </c>
      <c r="L247" s="266"/>
      <c r="M247" s="267"/>
      <c r="N247" s="274"/>
      <c r="O247" s="234"/>
      <c r="P247" s="235"/>
      <c r="Q247" s="236" t="str">
        <f t="shared" si="13"/>
        <v/>
      </c>
      <c r="R247" s="273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</row>
    <row r="248">
      <c r="A248" s="238" t="s">
        <v>62</v>
      </c>
      <c r="B248" s="239"/>
      <c r="C248" s="240"/>
      <c r="D248" s="241"/>
      <c r="E248" s="300"/>
      <c r="F248" s="227"/>
      <c r="G248" s="227"/>
      <c r="H248" s="242"/>
      <c r="I248" s="115"/>
      <c r="J248" s="244" t="s">
        <v>62</v>
      </c>
      <c r="K248" s="321">
        <f t="shared" si="14"/>
        <v>241</v>
      </c>
      <c r="L248" s="266"/>
      <c r="M248" s="267"/>
      <c r="N248" s="274"/>
      <c r="O248" s="234"/>
      <c r="P248" s="235"/>
      <c r="Q248" s="236" t="str">
        <f t="shared" si="13"/>
        <v/>
      </c>
      <c r="R248" s="273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</row>
    <row r="249">
      <c r="A249" s="238" t="s">
        <v>62</v>
      </c>
      <c r="B249" s="239"/>
      <c r="C249" s="240"/>
      <c r="D249" s="241"/>
      <c r="E249" s="300"/>
      <c r="F249" s="227"/>
      <c r="G249" s="227"/>
      <c r="H249" s="253"/>
      <c r="I249" s="115"/>
      <c r="J249" s="244" t="s">
        <v>62</v>
      </c>
      <c r="K249" s="321">
        <f t="shared" si="14"/>
        <v>242</v>
      </c>
      <c r="L249" s="266"/>
      <c r="M249" s="267"/>
      <c r="N249" s="275"/>
      <c r="O249" s="269"/>
      <c r="P249" s="270"/>
      <c r="Q249" s="236" t="str">
        <f t="shared" si="13"/>
        <v/>
      </c>
      <c r="R249" s="273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</row>
    <row r="250">
      <c r="A250" s="238" t="s">
        <v>62</v>
      </c>
      <c r="B250" s="239"/>
      <c r="C250" s="240"/>
      <c r="D250" s="241"/>
      <c r="E250" s="300"/>
      <c r="F250" s="227"/>
      <c r="G250" s="227"/>
      <c r="H250" s="242"/>
      <c r="I250" s="115"/>
      <c r="J250" s="244" t="s">
        <v>62</v>
      </c>
      <c r="K250" s="321">
        <f t="shared" si="14"/>
        <v>243</v>
      </c>
      <c r="L250" s="266"/>
      <c r="M250" s="267"/>
      <c r="N250" s="275"/>
      <c r="O250" s="269"/>
      <c r="P250" s="270"/>
      <c r="Q250" s="236" t="str">
        <f t="shared" si="13"/>
        <v/>
      </c>
      <c r="R250" s="273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</row>
    <row r="251">
      <c r="A251" s="238" t="s">
        <v>62</v>
      </c>
      <c r="B251" s="239"/>
      <c r="C251" s="240"/>
      <c r="D251" s="241"/>
      <c r="E251" s="300"/>
      <c r="F251" s="227"/>
      <c r="G251" s="227"/>
      <c r="H251" s="253"/>
      <c r="I251" s="115"/>
      <c r="J251" s="244" t="s">
        <v>62</v>
      </c>
      <c r="K251" s="321">
        <f t="shared" si="14"/>
        <v>244</v>
      </c>
      <c r="L251" s="266"/>
      <c r="M251" s="267"/>
      <c r="N251" s="275"/>
      <c r="O251" s="269"/>
      <c r="P251" s="270"/>
      <c r="Q251" s="236" t="str">
        <f t="shared" si="13"/>
        <v/>
      </c>
      <c r="R251" s="273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</row>
    <row r="252">
      <c r="A252" s="238" t="s">
        <v>62</v>
      </c>
      <c r="B252" s="239"/>
      <c r="C252" s="240"/>
      <c r="D252" s="241"/>
      <c r="E252" s="300"/>
      <c r="F252" s="227"/>
      <c r="G252" s="227"/>
      <c r="H252" s="242"/>
      <c r="I252" s="115"/>
      <c r="J252" s="244" t="s">
        <v>62</v>
      </c>
      <c r="K252" s="321">
        <f t="shared" si="14"/>
        <v>245</v>
      </c>
      <c r="L252" s="266"/>
      <c r="M252" s="267"/>
      <c r="N252" s="274"/>
      <c r="O252" s="269"/>
      <c r="P252" s="235"/>
      <c r="Q252" s="236" t="str">
        <f t="shared" si="13"/>
        <v/>
      </c>
      <c r="R252" s="273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</row>
    <row r="253">
      <c r="A253" s="276" t="s">
        <v>62</v>
      </c>
      <c r="B253" s="306"/>
      <c r="C253" s="307"/>
      <c r="D253" s="308"/>
      <c r="E253" s="309"/>
      <c r="F253" s="277"/>
      <c r="G253" s="277"/>
      <c r="H253" s="278"/>
      <c r="I253" s="115"/>
      <c r="J253" s="279" t="s">
        <v>62</v>
      </c>
      <c r="K253" s="322">
        <f t="shared" si="14"/>
        <v>246</v>
      </c>
      <c r="L253" s="311"/>
      <c r="M253" s="280"/>
      <c r="N253" s="281"/>
      <c r="O253" s="282"/>
      <c r="P253" s="283"/>
      <c r="Q253" s="236" t="str">
        <f t="shared" si="13"/>
        <v/>
      </c>
      <c r="R253" s="28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</row>
    <row r="254">
      <c r="A254" s="115"/>
      <c r="B254" s="265"/>
      <c r="C254" s="115"/>
      <c r="D254" s="115"/>
      <c r="E254" s="115"/>
      <c r="F254" s="115"/>
      <c r="G254" s="115"/>
      <c r="H254" s="115"/>
      <c r="I254" s="115"/>
      <c r="J254" s="115"/>
      <c r="K254" s="316"/>
      <c r="L254" s="265"/>
      <c r="M254" s="115"/>
      <c r="N254" s="115"/>
      <c r="O254" s="290"/>
      <c r="P254" s="316"/>
      <c r="Q254" s="323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</row>
    <row r="255">
      <c r="A255" s="221" t="s">
        <v>63</v>
      </c>
      <c r="B255" s="222" t="s">
        <v>85</v>
      </c>
      <c r="C255" s="223">
        <v>44380.0</v>
      </c>
      <c r="D255" s="224" t="s">
        <v>271</v>
      </c>
      <c r="E255" s="326">
        <v>72.05</v>
      </c>
      <c r="F255" s="226" t="s">
        <v>14</v>
      </c>
      <c r="G255" s="226" t="s">
        <v>16</v>
      </c>
      <c r="H255" s="228"/>
      <c r="I255" s="115"/>
      <c r="J255" s="230" t="s">
        <v>63</v>
      </c>
      <c r="K255" s="293">
        <f>K253+1</f>
        <v>247</v>
      </c>
      <c r="L255" s="226" t="s">
        <v>85</v>
      </c>
      <c r="M255" s="294">
        <v>44380.0</v>
      </c>
      <c r="N255" s="295" t="s">
        <v>238</v>
      </c>
      <c r="O255" s="296">
        <v>10.0</v>
      </c>
      <c r="P255" s="297">
        <v>1.0</v>
      </c>
      <c r="Q255" s="236">
        <f t="shared" ref="Q255:Q295" si="15">iferror($O255/$P255,"")</f>
        <v>10</v>
      </c>
      <c r="R255" s="299" t="s">
        <v>14</v>
      </c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</row>
    <row r="256">
      <c r="A256" s="238" t="s">
        <v>63</v>
      </c>
      <c r="B256" s="239" t="s">
        <v>85</v>
      </c>
      <c r="C256" s="240">
        <v>44380.0</v>
      </c>
      <c r="D256" s="241" t="s">
        <v>272</v>
      </c>
      <c r="E256" s="327">
        <v>34.0</v>
      </c>
      <c r="F256" s="227" t="s">
        <v>14</v>
      </c>
      <c r="G256" s="227" t="s">
        <v>16</v>
      </c>
      <c r="H256" s="242"/>
      <c r="I256" s="115"/>
      <c r="J256" s="244" t="s">
        <v>63</v>
      </c>
      <c r="K256" s="245">
        <f t="shared" ref="K256:K295" si="16">K255+1</f>
        <v>248</v>
      </c>
      <c r="L256" s="254"/>
      <c r="M256" s="247"/>
      <c r="N256" s="248"/>
      <c r="O256" s="249"/>
      <c r="P256" s="250"/>
      <c r="Q256" s="236" t="str">
        <f t="shared" si="15"/>
        <v/>
      </c>
      <c r="R256" s="237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</row>
    <row r="257">
      <c r="A257" s="238" t="s">
        <v>63</v>
      </c>
      <c r="B257" s="239" t="s">
        <v>116</v>
      </c>
      <c r="C257" s="240">
        <v>44381.0</v>
      </c>
      <c r="D257" s="241" t="s">
        <v>231</v>
      </c>
      <c r="E257" s="327">
        <v>356.68</v>
      </c>
      <c r="F257" s="227" t="s">
        <v>14</v>
      </c>
      <c r="G257" s="227" t="s">
        <v>16</v>
      </c>
      <c r="H257" s="251" t="s">
        <v>17</v>
      </c>
      <c r="I257" s="115"/>
      <c r="J257" s="244" t="s">
        <v>63</v>
      </c>
      <c r="K257" s="245">
        <f t="shared" si="16"/>
        <v>249</v>
      </c>
      <c r="L257" s="254"/>
      <c r="M257" s="247"/>
      <c r="N257" s="248"/>
      <c r="O257" s="249"/>
      <c r="P257" s="250"/>
      <c r="Q257" s="236" t="str">
        <f t="shared" si="15"/>
        <v/>
      </c>
      <c r="R257" s="237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</row>
    <row r="258">
      <c r="A258" s="238" t="s">
        <v>63</v>
      </c>
      <c r="B258" s="239" t="s">
        <v>118</v>
      </c>
      <c r="C258" s="240">
        <v>44384.0</v>
      </c>
      <c r="D258" s="241" t="s">
        <v>135</v>
      </c>
      <c r="E258" s="327">
        <v>75.9</v>
      </c>
      <c r="F258" s="227" t="s">
        <v>14</v>
      </c>
      <c r="G258" s="227" t="s">
        <v>16</v>
      </c>
      <c r="H258" s="242"/>
      <c r="I258" s="115"/>
      <c r="J258" s="244" t="s">
        <v>63</v>
      </c>
      <c r="K258" s="245">
        <f t="shared" si="16"/>
        <v>250</v>
      </c>
      <c r="L258" s="254"/>
      <c r="M258" s="247"/>
      <c r="N258" s="248"/>
      <c r="O258" s="249"/>
      <c r="P258" s="250"/>
      <c r="Q258" s="236" t="str">
        <f t="shared" si="15"/>
        <v/>
      </c>
      <c r="R258" s="237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</row>
    <row r="259">
      <c r="A259" s="238" t="s">
        <v>63</v>
      </c>
      <c r="B259" s="239" t="s">
        <v>118</v>
      </c>
      <c r="C259" s="240">
        <v>44385.0</v>
      </c>
      <c r="D259" s="241" t="s">
        <v>236</v>
      </c>
      <c r="E259" s="327">
        <v>100.0</v>
      </c>
      <c r="F259" s="227" t="s">
        <v>24</v>
      </c>
      <c r="G259" s="227" t="s">
        <v>26</v>
      </c>
      <c r="H259" s="253"/>
      <c r="I259" s="115"/>
      <c r="J259" s="244" t="s">
        <v>63</v>
      </c>
      <c r="K259" s="317">
        <f t="shared" si="16"/>
        <v>251</v>
      </c>
      <c r="L259" s="256"/>
      <c r="M259" s="257"/>
      <c r="N259" s="258"/>
      <c r="O259" s="252"/>
      <c r="P259" s="259"/>
      <c r="Q259" s="236" t="str">
        <f t="shared" si="15"/>
        <v/>
      </c>
      <c r="R259" s="237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</row>
    <row r="260">
      <c r="A260" s="238" t="s">
        <v>63</v>
      </c>
      <c r="B260" s="239" t="s">
        <v>85</v>
      </c>
      <c r="C260" s="240">
        <v>44386.0</v>
      </c>
      <c r="D260" s="241" t="s">
        <v>182</v>
      </c>
      <c r="E260" s="327">
        <v>45.0</v>
      </c>
      <c r="F260" s="227" t="s">
        <v>14</v>
      </c>
      <c r="G260" s="227" t="s">
        <v>16</v>
      </c>
      <c r="H260" s="242"/>
      <c r="I260" s="115"/>
      <c r="J260" s="244" t="s">
        <v>63</v>
      </c>
      <c r="K260" s="317">
        <f t="shared" si="16"/>
        <v>252</v>
      </c>
      <c r="L260" s="256"/>
      <c r="M260" s="257"/>
      <c r="N260" s="258"/>
      <c r="O260" s="252"/>
      <c r="P260" s="259"/>
      <c r="Q260" s="236" t="str">
        <f t="shared" si="15"/>
        <v/>
      </c>
      <c r="R260" s="237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</row>
    <row r="261">
      <c r="A261" s="238" t="s">
        <v>63</v>
      </c>
      <c r="B261" s="239" t="s">
        <v>85</v>
      </c>
      <c r="C261" s="240">
        <v>44386.0</v>
      </c>
      <c r="D261" s="241" t="s">
        <v>237</v>
      </c>
      <c r="E261" s="327">
        <v>11.0</v>
      </c>
      <c r="F261" s="227" t="s">
        <v>14</v>
      </c>
      <c r="G261" s="227" t="s">
        <v>16</v>
      </c>
      <c r="H261" s="253"/>
      <c r="I261" s="115"/>
      <c r="J261" s="244" t="s">
        <v>63</v>
      </c>
      <c r="K261" s="317">
        <f t="shared" si="16"/>
        <v>253</v>
      </c>
      <c r="L261" s="256"/>
      <c r="M261" s="257"/>
      <c r="N261" s="258"/>
      <c r="O261" s="252"/>
      <c r="P261" s="259"/>
      <c r="Q261" s="236" t="str">
        <f t="shared" si="15"/>
        <v/>
      </c>
      <c r="R261" s="237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</row>
    <row r="262">
      <c r="A262" s="238" t="s">
        <v>63</v>
      </c>
      <c r="B262" s="239" t="s">
        <v>106</v>
      </c>
      <c r="C262" s="240">
        <v>44389.0</v>
      </c>
      <c r="D262" s="241" t="s">
        <v>183</v>
      </c>
      <c r="E262" s="327">
        <v>210.0</v>
      </c>
      <c r="F262" s="227" t="s">
        <v>14</v>
      </c>
      <c r="G262" s="227" t="s">
        <v>16</v>
      </c>
      <c r="H262" s="242"/>
      <c r="I262" s="115"/>
      <c r="J262" s="244" t="s">
        <v>63</v>
      </c>
      <c r="K262" s="317">
        <f t="shared" si="16"/>
        <v>254</v>
      </c>
      <c r="L262" s="256"/>
      <c r="M262" s="257"/>
      <c r="N262" s="258"/>
      <c r="O262" s="252"/>
      <c r="P262" s="259"/>
      <c r="Q262" s="236" t="str">
        <f t="shared" si="15"/>
        <v/>
      </c>
      <c r="R262" s="237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</row>
    <row r="263">
      <c r="A263" s="238" t="s">
        <v>63</v>
      </c>
      <c r="B263" s="239" t="s">
        <v>85</v>
      </c>
      <c r="C263" s="240">
        <v>44389.0</v>
      </c>
      <c r="D263" s="241" t="s">
        <v>184</v>
      </c>
      <c r="E263" s="327">
        <v>22.0</v>
      </c>
      <c r="F263" s="227" t="s">
        <v>14</v>
      </c>
      <c r="G263" s="227" t="s">
        <v>16</v>
      </c>
      <c r="H263" s="251"/>
      <c r="I263" s="115"/>
      <c r="J263" s="244" t="s">
        <v>63</v>
      </c>
      <c r="K263" s="317">
        <f t="shared" si="16"/>
        <v>255</v>
      </c>
      <c r="L263" s="256"/>
      <c r="M263" s="257"/>
      <c r="N263" s="258"/>
      <c r="O263" s="252"/>
      <c r="P263" s="259"/>
      <c r="Q263" s="236" t="str">
        <f t="shared" si="15"/>
        <v/>
      </c>
      <c r="R263" s="237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</row>
    <row r="264">
      <c r="A264" s="238" t="s">
        <v>63</v>
      </c>
      <c r="B264" s="239" t="s">
        <v>102</v>
      </c>
      <c r="C264" s="240">
        <v>44393.0</v>
      </c>
      <c r="D264" s="241" t="s">
        <v>270</v>
      </c>
      <c r="E264" s="327">
        <v>13.99</v>
      </c>
      <c r="F264" s="227" t="s">
        <v>14</v>
      </c>
      <c r="G264" s="227" t="s">
        <v>16</v>
      </c>
      <c r="H264" s="272"/>
      <c r="I264" s="115"/>
      <c r="J264" s="244" t="s">
        <v>63</v>
      </c>
      <c r="K264" s="317">
        <f t="shared" si="16"/>
        <v>256</v>
      </c>
      <c r="L264" s="256"/>
      <c r="M264" s="257"/>
      <c r="N264" s="258"/>
      <c r="O264" s="252"/>
      <c r="P264" s="259"/>
      <c r="Q264" s="236" t="str">
        <f t="shared" si="15"/>
        <v/>
      </c>
      <c r="R264" s="237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</row>
    <row r="265">
      <c r="A265" s="238" t="s">
        <v>63</v>
      </c>
      <c r="B265" s="239" t="s">
        <v>98</v>
      </c>
      <c r="C265" s="240">
        <v>44393.0</v>
      </c>
      <c r="D265" s="241" t="s">
        <v>273</v>
      </c>
      <c r="E265" s="327">
        <v>53.13</v>
      </c>
      <c r="F265" s="227" t="s">
        <v>14</v>
      </c>
      <c r="G265" s="227" t="s">
        <v>16</v>
      </c>
      <c r="H265" s="253"/>
      <c r="I265" s="115"/>
      <c r="J265" s="244" t="s">
        <v>63</v>
      </c>
      <c r="K265" s="317">
        <f t="shared" si="16"/>
        <v>257</v>
      </c>
      <c r="L265" s="256"/>
      <c r="M265" s="257"/>
      <c r="N265" s="258"/>
      <c r="O265" s="252"/>
      <c r="P265" s="259"/>
      <c r="Q265" s="236" t="str">
        <f t="shared" si="15"/>
        <v/>
      </c>
      <c r="R265" s="237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</row>
    <row r="266">
      <c r="A266" s="238" t="s">
        <v>63</v>
      </c>
      <c r="B266" s="239" t="s">
        <v>98</v>
      </c>
      <c r="C266" s="240">
        <v>44394.0</v>
      </c>
      <c r="D266" s="241" t="s">
        <v>235</v>
      </c>
      <c r="E266" s="327">
        <v>17.0</v>
      </c>
      <c r="F266" s="227" t="s">
        <v>14</v>
      </c>
      <c r="G266" s="227" t="s">
        <v>16</v>
      </c>
      <c r="H266" s="242"/>
      <c r="I266" s="115"/>
      <c r="J266" s="244" t="s">
        <v>63</v>
      </c>
      <c r="K266" s="317">
        <f t="shared" si="16"/>
        <v>258</v>
      </c>
      <c r="L266" s="256"/>
      <c r="M266" s="257"/>
      <c r="N266" s="258"/>
      <c r="O266" s="252"/>
      <c r="P266" s="259"/>
      <c r="Q266" s="236" t="str">
        <f t="shared" si="15"/>
        <v/>
      </c>
      <c r="R266" s="237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</row>
    <row r="267">
      <c r="A267" s="238" t="s">
        <v>63</v>
      </c>
      <c r="B267" s="239" t="s">
        <v>85</v>
      </c>
      <c r="C267" s="240">
        <v>44394.0</v>
      </c>
      <c r="D267" s="241" t="s">
        <v>274</v>
      </c>
      <c r="E267" s="327">
        <v>39.89</v>
      </c>
      <c r="F267" s="227" t="s">
        <v>14</v>
      </c>
      <c r="G267" s="227" t="s">
        <v>16</v>
      </c>
      <c r="H267" s="253"/>
      <c r="I267" s="115"/>
      <c r="J267" s="244" t="s">
        <v>63</v>
      </c>
      <c r="K267" s="317">
        <f t="shared" si="16"/>
        <v>259</v>
      </c>
      <c r="L267" s="256"/>
      <c r="M267" s="257"/>
      <c r="N267" s="258"/>
      <c r="O267" s="252"/>
      <c r="P267" s="259"/>
      <c r="Q267" s="236" t="str">
        <f t="shared" si="15"/>
        <v/>
      </c>
      <c r="R267" s="237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</row>
    <row r="268">
      <c r="A268" s="238" t="s">
        <v>63</v>
      </c>
      <c r="B268" s="239" t="s">
        <v>118</v>
      </c>
      <c r="C268" s="240">
        <v>44393.0</v>
      </c>
      <c r="D268" s="241" t="s">
        <v>262</v>
      </c>
      <c r="E268" s="327">
        <v>50.0</v>
      </c>
      <c r="F268" s="227" t="s">
        <v>24</v>
      </c>
      <c r="G268" s="227" t="s">
        <v>26</v>
      </c>
      <c r="H268" s="242"/>
      <c r="I268" s="115"/>
      <c r="J268" s="244" t="s">
        <v>63</v>
      </c>
      <c r="K268" s="317">
        <f t="shared" si="16"/>
        <v>260</v>
      </c>
      <c r="L268" s="256"/>
      <c r="M268" s="257"/>
      <c r="N268" s="258"/>
      <c r="O268" s="252"/>
      <c r="P268" s="259"/>
      <c r="Q268" s="236" t="str">
        <f t="shared" si="15"/>
        <v/>
      </c>
      <c r="R268" s="237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</row>
    <row r="269">
      <c r="A269" s="238" t="s">
        <v>63</v>
      </c>
      <c r="B269" s="239" t="s">
        <v>106</v>
      </c>
      <c r="C269" s="240">
        <v>44395.0</v>
      </c>
      <c r="D269" s="241" t="s">
        <v>275</v>
      </c>
      <c r="E269" s="327">
        <v>4.0</v>
      </c>
      <c r="F269" s="227" t="s">
        <v>24</v>
      </c>
      <c r="G269" s="227" t="s">
        <v>26</v>
      </c>
      <c r="H269" s="251"/>
      <c r="I269" s="115"/>
      <c r="J269" s="244" t="s">
        <v>63</v>
      </c>
      <c r="K269" s="317">
        <f t="shared" si="16"/>
        <v>261</v>
      </c>
      <c r="L269" s="256"/>
      <c r="M269" s="257"/>
      <c r="N269" s="258"/>
      <c r="O269" s="252"/>
      <c r="P269" s="259"/>
      <c r="Q269" s="236" t="str">
        <f t="shared" si="15"/>
        <v/>
      </c>
      <c r="R269" s="237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</row>
    <row r="270">
      <c r="A270" s="238" t="s">
        <v>63</v>
      </c>
      <c r="B270" s="239" t="s">
        <v>102</v>
      </c>
      <c r="C270" s="240">
        <v>44393.0</v>
      </c>
      <c r="D270" s="241" t="s">
        <v>276</v>
      </c>
      <c r="E270" s="327">
        <v>7.0</v>
      </c>
      <c r="F270" s="227" t="s">
        <v>14</v>
      </c>
      <c r="G270" s="227" t="s">
        <v>16</v>
      </c>
      <c r="H270" s="242"/>
      <c r="I270" s="115"/>
      <c r="J270" s="244" t="s">
        <v>63</v>
      </c>
      <c r="K270" s="317">
        <f t="shared" si="16"/>
        <v>262</v>
      </c>
      <c r="L270" s="256"/>
      <c r="M270" s="257"/>
      <c r="N270" s="258"/>
      <c r="O270" s="252"/>
      <c r="P270" s="259"/>
      <c r="Q270" s="236" t="str">
        <f t="shared" si="15"/>
        <v/>
      </c>
      <c r="R270" s="237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</row>
    <row r="271">
      <c r="A271" s="238" t="s">
        <v>63</v>
      </c>
      <c r="B271" s="239" t="s">
        <v>85</v>
      </c>
      <c r="C271" s="240">
        <v>44396.0</v>
      </c>
      <c r="D271" s="241" t="s">
        <v>238</v>
      </c>
      <c r="E271" s="300">
        <v>33.0</v>
      </c>
      <c r="F271" s="227" t="s">
        <v>14</v>
      </c>
      <c r="G271" s="227" t="s">
        <v>16</v>
      </c>
      <c r="H271" s="253"/>
      <c r="I271" s="115"/>
      <c r="J271" s="244" t="s">
        <v>63</v>
      </c>
      <c r="K271" s="317">
        <f t="shared" si="16"/>
        <v>263</v>
      </c>
      <c r="L271" s="256"/>
      <c r="M271" s="257"/>
      <c r="N271" s="258"/>
      <c r="O271" s="252"/>
      <c r="P271" s="259"/>
      <c r="Q271" s="236" t="str">
        <f t="shared" si="15"/>
        <v/>
      </c>
      <c r="R271" s="237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</row>
    <row r="272">
      <c r="A272" s="238" t="s">
        <v>63</v>
      </c>
      <c r="B272" s="239" t="s">
        <v>98</v>
      </c>
      <c r="C272" s="240">
        <v>44396.0</v>
      </c>
      <c r="D272" s="241" t="s">
        <v>277</v>
      </c>
      <c r="E272" s="300">
        <v>25.0</v>
      </c>
      <c r="F272" s="227" t="s">
        <v>14</v>
      </c>
      <c r="G272" s="227" t="s">
        <v>16</v>
      </c>
      <c r="H272" s="242"/>
      <c r="I272" s="115"/>
      <c r="J272" s="244" t="s">
        <v>63</v>
      </c>
      <c r="K272" s="317">
        <f t="shared" si="16"/>
        <v>264</v>
      </c>
      <c r="L272" s="256"/>
      <c r="M272" s="257"/>
      <c r="N272" s="258"/>
      <c r="O272" s="252"/>
      <c r="P272" s="259"/>
      <c r="Q272" s="236" t="str">
        <f t="shared" si="15"/>
        <v/>
      </c>
      <c r="R272" s="237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</row>
    <row r="273">
      <c r="A273" s="238" t="s">
        <v>63</v>
      </c>
      <c r="B273" s="239" t="s">
        <v>85</v>
      </c>
      <c r="C273" s="240">
        <v>44396.0</v>
      </c>
      <c r="D273" s="241" t="s">
        <v>278</v>
      </c>
      <c r="E273" s="300">
        <v>57.09</v>
      </c>
      <c r="F273" s="227" t="s">
        <v>14</v>
      </c>
      <c r="G273" s="227" t="s">
        <v>16</v>
      </c>
      <c r="H273" s="253"/>
      <c r="I273" s="115"/>
      <c r="J273" s="244" t="s">
        <v>63</v>
      </c>
      <c r="K273" s="317">
        <f t="shared" si="16"/>
        <v>265</v>
      </c>
      <c r="L273" s="256"/>
      <c r="M273" s="257"/>
      <c r="N273" s="258"/>
      <c r="O273" s="252"/>
      <c r="P273" s="259"/>
      <c r="Q273" s="236" t="str">
        <f t="shared" si="15"/>
        <v/>
      </c>
      <c r="R273" s="237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</row>
    <row r="274">
      <c r="A274" s="238" t="s">
        <v>63</v>
      </c>
      <c r="B274" s="239" t="s">
        <v>118</v>
      </c>
      <c r="C274" s="240">
        <v>44397.0</v>
      </c>
      <c r="D274" s="241" t="s">
        <v>188</v>
      </c>
      <c r="E274" s="300">
        <v>138.07</v>
      </c>
      <c r="F274" s="227" t="s">
        <v>14</v>
      </c>
      <c r="G274" s="227" t="s">
        <v>16</v>
      </c>
      <c r="H274" s="242"/>
      <c r="I274" s="115"/>
      <c r="J274" s="244" t="s">
        <v>63</v>
      </c>
      <c r="K274" s="317">
        <f t="shared" si="16"/>
        <v>266</v>
      </c>
      <c r="L274" s="256"/>
      <c r="M274" s="257"/>
      <c r="N274" s="258"/>
      <c r="O274" s="252"/>
      <c r="P274" s="259"/>
      <c r="Q274" s="236" t="str">
        <f t="shared" si="15"/>
        <v/>
      </c>
      <c r="R274" s="237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</row>
    <row r="275">
      <c r="A275" s="238" t="s">
        <v>63</v>
      </c>
      <c r="B275" s="239" t="s">
        <v>118</v>
      </c>
      <c r="C275" s="240">
        <v>44398.0</v>
      </c>
      <c r="D275" s="241" t="s">
        <v>136</v>
      </c>
      <c r="E275" s="300">
        <v>100.0</v>
      </c>
      <c r="F275" s="227" t="s">
        <v>24</v>
      </c>
      <c r="G275" s="227" t="s">
        <v>26</v>
      </c>
      <c r="H275" s="253"/>
      <c r="I275" s="115"/>
      <c r="J275" s="244" t="s">
        <v>63</v>
      </c>
      <c r="K275" s="317">
        <f t="shared" si="16"/>
        <v>267</v>
      </c>
      <c r="L275" s="256"/>
      <c r="M275" s="257"/>
      <c r="N275" s="258"/>
      <c r="O275" s="252"/>
      <c r="P275" s="259"/>
      <c r="Q275" s="236" t="str">
        <f t="shared" si="15"/>
        <v/>
      </c>
      <c r="R275" s="237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</row>
    <row r="276">
      <c r="A276" s="238" t="s">
        <v>63</v>
      </c>
      <c r="B276" s="239" t="s">
        <v>85</v>
      </c>
      <c r="C276" s="240">
        <v>44404.0</v>
      </c>
      <c r="D276" s="241" t="s">
        <v>238</v>
      </c>
      <c r="E276" s="300">
        <v>11.0</v>
      </c>
      <c r="F276" s="227" t="s">
        <v>14</v>
      </c>
      <c r="G276" s="227" t="s">
        <v>16</v>
      </c>
      <c r="H276" s="242"/>
      <c r="I276" s="115"/>
      <c r="J276" s="244" t="s">
        <v>63</v>
      </c>
      <c r="K276" s="317">
        <f t="shared" si="16"/>
        <v>268</v>
      </c>
      <c r="L276" s="256"/>
      <c r="M276" s="257"/>
      <c r="N276" s="258"/>
      <c r="O276" s="252"/>
      <c r="P276" s="259"/>
      <c r="Q276" s="236" t="str">
        <f t="shared" si="15"/>
        <v/>
      </c>
      <c r="R276" s="237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</row>
    <row r="277">
      <c r="A277" s="238" t="s">
        <v>63</v>
      </c>
      <c r="B277" s="239" t="s">
        <v>85</v>
      </c>
      <c r="C277" s="240">
        <v>44404.0</v>
      </c>
      <c r="D277" s="241" t="s">
        <v>279</v>
      </c>
      <c r="E277" s="300">
        <v>16.0</v>
      </c>
      <c r="F277" s="227" t="s">
        <v>14</v>
      </c>
      <c r="G277" s="304" t="s">
        <v>16</v>
      </c>
      <c r="H277" s="253"/>
      <c r="I277" s="115"/>
      <c r="J277" s="244" t="s">
        <v>63</v>
      </c>
      <c r="K277" s="317">
        <f t="shared" si="16"/>
        <v>269</v>
      </c>
      <c r="L277" s="256"/>
      <c r="M277" s="257"/>
      <c r="N277" s="258"/>
      <c r="O277" s="252"/>
      <c r="P277" s="259"/>
      <c r="Q277" s="236" t="str">
        <f t="shared" si="15"/>
        <v/>
      </c>
      <c r="R277" s="237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</row>
    <row r="278">
      <c r="A278" s="238" t="s">
        <v>63</v>
      </c>
      <c r="B278" s="239" t="s">
        <v>91</v>
      </c>
      <c r="C278" s="240">
        <v>44407.0</v>
      </c>
      <c r="D278" s="241" t="s">
        <v>146</v>
      </c>
      <c r="E278" s="300">
        <v>279.99</v>
      </c>
      <c r="F278" s="227" t="s">
        <v>14</v>
      </c>
      <c r="G278" s="304" t="s">
        <v>16</v>
      </c>
      <c r="H278" s="242"/>
      <c r="I278" s="115"/>
      <c r="J278" s="244" t="s">
        <v>63</v>
      </c>
      <c r="K278" s="317">
        <f t="shared" si="16"/>
        <v>270</v>
      </c>
      <c r="L278" s="256"/>
      <c r="M278" s="257"/>
      <c r="N278" s="258"/>
      <c r="O278" s="252"/>
      <c r="P278" s="259"/>
      <c r="Q278" s="236" t="str">
        <f t="shared" si="15"/>
        <v/>
      </c>
      <c r="R278" s="237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</row>
    <row r="279">
      <c r="A279" s="238" t="s">
        <v>63</v>
      </c>
      <c r="B279" s="239" t="s">
        <v>98</v>
      </c>
      <c r="C279" s="240">
        <v>44407.0</v>
      </c>
      <c r="D279" s="241" t="s">
        <v>280</v>
      </c>
      <c r="E279" s="300">
        <v>30.0</v>
      </c>
      <c r="F279" s="227" t="s">
        <v>14</v>
      </c>
      <c r="G279" s="227" t="s">
        <v>16</v>
      </c>
      <c r="H279" s="253"/>
      <c r="I279" s="115"/>
      <c r="J279" s="244" t="s">
        <v>63</v>
      </c>
      <c r="K279" s="321">
        <f t="shared" si="16"/>
        <v>271</v>
      </c>
      <c r="L279" s="266"/>
      <c r="M279" s="267"/>
      <c r="N279" s="268"/>
      <c r="O279" s="269"/>
      <c r="P279" s="270"/>
      <c r="Q279" s="236" t="str">
        <f t="shared" si="15"/>
        <v/>
      </c>
      <c r="R279" s="237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</row>
    <row r="280">
      <c r="A280" s="238" t="s">
        <v>63</v>
      </c>
      <c r="B280" s="239"/>
      <c r="C280" s="240"/>
      <c r="D280" s="241"/>
      <c r="E280" s="300"/>
      <c r="F280" s="227"/>
      <c r="G280" s="227"/>
      <c r="H280" s="242"/>
      <c r="I280" s="115"/>
      <c r="J280" s="244" t="s">
        <v>63</v>
      </c>
      <c r="K280" s="321">
        <f t="shared" si="16"/>
        <v>272</v>
      </c>
      <c r="L280" s="266"/>
      <c r="M280" s="267"/>
      <c r="N280" s="268"/>
      <c r="O280" s="269"/>
      <c r="P280" s="270"/>
      <c r="Q280" s="236" t="str">
        <f t="shared" si="15"/>
        <v/>
      </c>
      <c r="R280" s="237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</row>
    <row r="281">
      <c r="A281" s="238" t="s">
        <v>63</v>
      </c>
      <c r="B281" s="239"/>
      <c r="C281" s="240"/>
      <c r="D281" s="241"/>
      <c r="E281" s="300"/>
      <c r="F281" s="227"/>
      <c r="G281" s="227"/>
      <c r="H281" s="253"/>
      <c r="I281" s="115"/>
      <c r="J281" s="244" t="s">
        <v>63</v>
      </c>
      <c r="K281" s="321">
        <f t="shared" si="16"/>
        <v>273</v>
      </c>
      <c r="L281" s="266"/>
      <c r="M281" s="267"/>
      <c r="N281" s="268"/>
      <c r="O281" s="269"/>
      <c r="P281" s="270"/>
      <c r="Q281" s="236" t="str">
        <f t="shared" si="15"/>
        <v/>
      </c>
      <c r="R281" s="237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</row>
    <row r="282">
      <c r="A282" s="238" t="s">
        <v>63</v>
      </c>
      <c r="B282" s="239"/>
      <c r="C282" s="240"/>
      <c r="D282" s="241"/>
      <c r="E282" s="300"/>
      <c r="F282" s="227"/>
      <c r="G282" s="227"/>
      <c r="H282" s="242"/>
      <c r="I282" s="115"/>
      <c r="J282" s="244" t="s">
        <v>63</v>
      </c>
      <c r="K282" s="321">
        <f t="shared" si="16"/>
        <v>274</v>
      </c>
      <c r="L282" s="266"/>
      <c r="M282" s="267"/>
      <c r="N282" s="268"/>
      <c r="O282" s="269"/>
      <c r="P282" s="270"/>
      <c r="Q282" s="236" t="str">
        <f t="shared" si="15"/>
        <v/>
      </c>
      <c r="R282" s="237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</row>
    <row r="283">
      <c r="A283" s="238" t="s">
        <v>63</v>
      </c>
      <c r="B283" s="239"/>
      <c r="C283" s="240"/>
      <c r="D283" s="241"/>
      <c r="E283" s="300"/>
      <c r="F283" s="227"/>
      <c r="G283" s="227"/>
      <c r="H283" s="253"/>
      <c r="I283" s="115"/>
      <c r="J283" s="244" t="s">
        <v>63</v>
      </c>
      <c r="K283" s="321">
        <f t="shared" si="16"/>
        <v>275</v>
      </c>
      <c r="L283" s="266"/>
      <c r="M283" s="267"/>
      <c r="N283" s="268"/>
      <c r="O283" s="269"/>
      <c r="P283" s="270"/>
      <c r="Q283" s="236" t="str">
        <f t="shared" si="15"/>
        <v/>
      </c>
      <c r="R283" s="237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</row>
    <row r="284">
      <c r="A284" s="238" t="s">
        <v>63</v>
      </c>
      <c r="B284" s="239"/>
      <c r="C284" s="240"/>
      <c r="D284" s="241"/>
      <c r="E284" s="300"/>
      <c r="F284" s="227"/>
      <c r="G284" s="227"/>
      <c r="H284" s="242"/>
      <c r="I284" s="115"/>
      <c r="J284" s="244" t="s">
        <v>63</v>
      </c>
      <c r="K284" s="321">
        <f t="shared" si="16"/>
        <v>276</v>
      </c>
      <c r="L284" s="266"/>
      <c r="M284" s="267"/>
      <c r="N284" s="268"/>
      <c r="O284" s="269"/>
      <c r="P284" s="270"/>
      <c r="Q284" s="236" t="str">
        <f t="shared" si="15"/>
        <v/>
      </c>
      <c r="R284" s="237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</row>
    <row r="285">
      <c r="A285" s="238" t="s">
        <v>63</v>
      </c>
      <c r="B285" s="239"/>
      <c r="C285" s="240"/>
      <c r="D285" s="241"/>
      <c r="E285" s="300"/>
      <c r="F285" s="227"/>
      <c r="G285" s="227"/>
      <c r="H285" s="253"/>
      <c r="I285" s="115"/>
      <c r="J285" s="244" t="s">
        <v>63</v>
      </c>
      <c r="K285" s="321">
        <f t="shared" si="16"/>
        <v>277</v>
      </c>
      <c r="L285" s="266"/>
      <c r="M285" s="267"/>
      <c r="N285" s="268"/>
      <c r="O285" s="269"/>
      <c r="P285" s="270"/>
      <c r="Q285" s="236" t="str">
        <f t="shared" si="15"/>
        <v/>
      </c>
      <c r="R285" s="273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</row>
    <row r="286">
      <c r="A286" s="238" t="s">
        <v>63</v>
      </c>
      <c r="B286" s="239"/>
      <c r="C286" s="240"/>
      <c r="D286" s="241"/>
      <c r="E286" s="300"/>
      <c r="F286" s="227"/>
      <c r="G286" s="227"/>
      <c r="H286" s="242"/>
      <c r="I286" s="115"/>
      <c r="J286" s="244" t="s">
        <v>63</v>
      </c>
      <c r="K286" s="321">
        <f t="shared" si="16"/>
        <v>278</v>
      </c>
      <c r="L286" s="266"/>
      <c r="M286" s="267"/>
      <c r="N286" s="227"/>
      <c r="O286" s="234"/>
      <c r="P286" s="235"/>
      <c r="Q286" s="236" t="str">
        <f t="shared" si="15"/>
        <v/>
      </c>
      <c r="R286" s="273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</row>
    <row r="287">
      <c r="A287" s="238" t="s">
        <v>63</v>
      </c>
      <c r="B287" s="239"/>
      <c r="C287" s="240"/>
      <c r="D287" s="241"/>
      <c r="E287" s="300"/>
      <c r="F287" s="227"/>
      <c r="G287" s="227"/>
      <c r="H287" s="253"/>
      <c r="I287" s="115"/>
      <c r="J287" s="244" t="s">
        <v>63</v>
      </c>
      <c r="K287" s="321">
        <f t="shared" si="16"/>
        <v>279</v>
      </c>
      <c r="L287" s="266"/>
      <c r="M287" s="267"/>
      <c r="N287" s="227"/>
      <c r="O287" s="234"/>
      <c r="P287" s="235"/>
      <c r="Q287" s="236" t="str">
        <f t="shared" si="15"/>
        <v/>
      </c>
      <c r="R287" s="273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</row>
    <row r="288">
      <c r="A288" s="238" t="s">
        <v>63</v>
      </c>
      <c r="B288" s="239"/>
      <c r="C288" s="240"/>
      <c r="D288" s="241"/>
      <c r="E288" s="300"/>
      <c r="F288" s="227"/>
      <c r="G288" s="227"/>
      <c r="H288" s="242"/>
      <c r="I288" s="115"/>
      <c r="J288" s="244" t="s">
        <v>63</v>
      </c>
      <c r="K288" s="321">
        <f t="shared" si="16"/>
        <v>280</v>
      </c>
      <c r="L288" s="266"/>
      <c r="M288" s="267"/>
      <c r="N288" s="274"/>
      <c r="O288" s="234"/>
      <c r="P288" s="235"/>
      <c r="Q288" s="236" t="str">
        <f t="shared" si="15"/>
        <v/>
      </c>
      <c r="R288" s="273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</row>
    <row r="289">
      <c r="A289" s="238" t="s">
        <v>63</v>
      </c>
      <c r="B289" s="239"/>
      <c r="C289" s="240"/>
      <c r="D289" s="241"/>
      <c r="E289" s="300"/>
      <c r="F289" s="227"/>
      <c r="G289" s="227"/>
      <c r="H289" s="253"/>
      <c r="I289" s="115"/>
      <c r="J289" s="244" t="s">
        <v>63</v>
      </c>
      <c r="K289" s="321">
        <f t="shared" si="16"/>
        <v>281</v>
      </c>
      <c r="L289" s="266"/>
      <c r="M289" s="267"/>
      <c r="N289" s="274"/>
      <c r="O289" s="234"/>
      <c r="P289" s="235"/>
      <c r="Q289" s="236" t="str">
        <f t="shared" si="15"/>
        <v/>
      </c>
      <c r="R289" s="273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</row>
    <row r="290">
      <c r="A290" s="238" t="s">
        <v>63</v>
      </c>
      <c r="B290" s="239"/>
      <c r="C290" s="240"/>
      <c r="D290" s="241"/>
      <c r="E290" s="300"/>
      <c r="F290" s="227"/>
      <c r="G290" s="227"/>
      <c r="H290" s="242"/>
      <c r="I290" s="115"/>
      <c r="J290" s="244" t="s">
        <v>63</v>
      </c>
      <c r="K290" s="321">
        <f t="shared" si="16"/>
        <v>282</v>
      </c>
      <c r="L290" s="266"/>
      <c r="M290" s="267"/>
      <c r="N290" s="274"/>
      <c r="O290" s="234"/>
      <c r="P290" s="235"/>
      <c r="Q290" s="236" t="str">
        <f t="shared" si="15"/>
        <v/>
      </c>
      <c r="R290" s="273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</row>
    <row r="291">
      <c r="A291" s="238" t="s">
        <v>63</v>
      </c>
      <c r="B291" s="239"/>
      <c r="C291" s="240"/>
      <c r="D291" s="241"/>
      <c r="E291" s="300"/>
      <c r="F291" s="227"/>
      <c r="G291" s="227"/>
      <c r="H291" s="253"/>
      <c r="I291" s="115"/>
      <c r="J291" s="244" t="s">
        <v>63</v>
      </c>
      <c r="K291" s="321">
        <f t="shared" si="16"/>
        <v>283</v>
      </c>
      <c r="L291" s="266"/>
      <c r="M291" s="267"/>
      <c r="N291" s="275"/>
      <c r="O291" s="269"/>
      <c r="P291" s="270"/>
      <c r="Q291" s="236" t="str">
        <f t="shared" si="15"/>
        <v/>
      </c>
      <c r="R291" s="273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</row>
    <row r="292">
      <c r="A292" s="238" t="s">
        <v>63</v>
      </c>
      <c r="B292" s="239"/>
      <c r="C292" s="240"/>
      <c r="D292" s="241"/>
      <c r="E292" s="300"/>
      <c r="F292" s="227"/>
      <c r="G292" s="227"/>
      <c r="H292" s="242"/>
      <c r="I292" s="115"/>
      <c r="J292" s="244" t="s">
        <v>63</v>
      </c>
      <c r="K292" s="321">
        <f t="shared" si="16"/>
        <v>284</v>
      </c>
      <c r="L292" s="266"/>
      <c r="M292" s="267"/>
      <c r="N292" s="275"/>
      <c r="O292" s="269"/>
      <c r="P292" s="270"/>
      <c r="Q292" s="236" t="str">
        <f t="shared" si="15"/>
        <v/>
      </c>
      <c r="R292" s="273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</row>
    <row r="293">
      <c r="A293" s="238" t="s">
        <v>63</v>
      </c>
      <c r="B293" s="239"/>
      <c r="C293" s="240"/>
      <c r="D293" s="241"/>
      <c r="E293" s="300"/>
      <c r="F293" s="227"/>
      <c r="G293" s="227"/>
      <c r="H293" s="253"/>
      <c r="I293" s="115"/>
      <c r="J293" s="244" t="s">
        <v>63</v>
      </c>
      <c r="K293" s="321">
        <f t="shared" si="16"/>
        <v>285</v>
      </c>
      <c r="L293" s="266"/>
      <c r="M293" s="267"/>
      <c r="N293" s="275"/>
      <c r="O293" s="269"/>
      <c r="P293" s="270"/>
      <c r="Q293" s="236" t="str">
        <f t="shared" si="15"/>
        <v/>
      </c>
      <c r="R293" s="273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</row>
    <row r="294">
      <c r="A294" s="238" t="s">
        <v>63</v>
      </c>
      <c r="B294" s="239"/>
      <c r="C294" s="240"/>
      <c r="D294" s="241"/>
      <c r="E294" s="300"/>
      <c r="F294" s="227"/>
      <c r="G294" s="227"/>
      <c r="H294" s="242"/>
      <c r="I294" s="115"/>
      <c r="J294" s="244" t="s">
        <v>63</v>
      </c>
      <c r="K294" s="321">
        <f t="shared" si="16"/>
        <v>286</v>
      </c>
      <c r="L294" s="266"/>
      <c r="M294" s="267"/>
      <c r="N294" s="274"/>
      <c r="O294" s="269"/>
      <c r="P294" s="235"/>
      <c r="Q294" s="236" t="str">
        <f t="shared" si="15"/>
        <v/>
      </c>
      <c r="R294" s="273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</row>
    <row r="295">
      <c r="A295" s="276" t="s">
        <v>63</v>
      </c>
      <c r="B295" s="306"/>
      <c r="C295" s="307"/>
      <c r="D295" s="308"/>
      <c r="E295" s="309"/>
      <c r="F295" s="277"/>
      <c r="G295" s="277"/>
      <c r="H295" s="278"/>
      <c r="I295" s="115"/>
      <c r="J295" s="279" t="s">
        <v>63</v>
      </c>
      <c r="K295" s="322">
        <f t="shared" si="16"/>
        <v>287</v>
      </c>
      <c r="L295" s="311"/>
      <c r="M295" s="280"/>
      <c r="N295" s="281"/>
      <c r="O295" s="282"/>
      <c r="P295" s="283"/>
      <c r="Q295" s="236" t="str">
        <f t="shared" si="15"/>
        <v/>
      </c>
      <c r="R295" s="28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</row>
    <row r="296">
      <c r="A296" s="115"/>
      <c r="B296" s="265"/>
      <c r="C296" s="115"/>
      <c r="D296" s="115"/>
      <c r="E296" s="115"/>
      <c r="F296" s="115"/>
      <c r="G296" s="115"/>
      <c r="H296" s="115"/>
      <c r="I296" s="115"/>
      <c r="J296" s="115"/>
      <c r="K296" s="316"/>
      <c r="L296" s="265"/>
      <c r="M296" s="115"/>
      <c r="N296" s="115"/>
      <c r="O296" s="290"/>
      <c r="P296" s="316"/>
      <c r="Q296" s="323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</row>
    <row r="297">
      <c r="A297" s="221" t="s">
        <v>64</v>
      </c>
      <c r="B297" s="222" t="s">
        <v>85</v>
      </c>
      <c r="C297" s="223">
        <v>44409.0</v>
      </c>
      <c r="D297" s="224" t="s">
        <v>191</v>
      </c>
      <c r="E297" s="326">
        <v>69.3</v>
      </c>
      <c r="F297" s="226" t="s">
        <v>14</v>
      </c>
      <c r="G297" s="226" t="s">
        <v>16</v>
      </c>
      <c r="H297" s="228"/>
      <c r="I297" s="115"/>
      <c r="J297" s="230" t="s">
        <v>64</v>
      </c>
      <c r="K297" s="293">
        <f>K295+1</f>
        <v>288</v>
      </c>
      <c r="L297" s="226" t="s">
        <v>120</v>
      </c>
      <c r="M297" s="294">
        <v>44413.0</v>
      </c>
      <c r="N297" s="295" t="s">
        <v>281</v>
      </c>
      <c r="O297" s="296">
        <v>122.21</v>
      </c>
      <c r="P297" s="297">
        <v>1.0</v>
      </c>
      <c r="Q297" s="236">
        <f t="shared" ref="Q297:Q337" si="17">iferror($O297/$P297,"")</f>
        <v>122.21</v>
      </c>
      <c r="R297" s="299" t="s">
        <v>14</v>
      </c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</row>
    <row r="298">
      <c r="A298" s="238" t="s">
        <v>64</v>
      </c>
      <c r="B298" s="239" t="s">
        <v>118</v>
      </c>
      <c r="C298" s="240">
        <v>44412.0</v>
      </c>
      <c r="D298" s="241" t="s">
        <v>236</v>
      </c>
      <c r="E298" s="327">
        <v>100.0</v>
      </c>
      <c r="F298" s="227" t="s">
        <v>14</v>
      </c>
      <c r="G298" s="227" t="s">
        <v>16</v>
      </c>
      <c r="H298" s="242"/>
      <c r="I298" s="115"/>
      <c r="J298" s="244" t="s">
        <v>64</v>
      </c>
      <c r="K298" s="245">
        <f t="shared" ref="K298:K337" si="18">K297+1</f>
        <v>289</v>
      </c>
      <c r="L298" s="246" t="s">
        <v>122</v>
      </c>
      <c r="M298" s="247">
        <v>44414.0</v>
      </c>
      <c r="N298" s="248" t="s">
        <v>20</v>
      </c>
      <c r="O298" s="249">
        <v>14.58</v>
      </c>
      <c r="P298" s="250">
        <v>1.0</v>
      </c>
      <c r="Q298" s="236">
        <f t="shared" si="17"/>
        <v>14.58</v>
      </c>
      <c r="R298" s="237" t="s">
        <v>20</v>
      </c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</row>
    <row r="299">
      <c r="A299" s="238" t="s">
        <v>64</v>
      </c>
      <c r="B299" s="239" t="s">
        <v>85</v>
      </c>
      <c r="C299" s="240">
        <v>44411.0</v>
      </c>
      <c r="D299" s="241" t="s">
        <v>237</v>
      </c>
      <c r="E299" s="327">
        <v>27.0</v>
      </c>
      <c r="F299" s="227" t="s">
        <v>14</v>
      </c>
      <c r="G299" s="227" t="s">
        <v>16</v>
      </c>
      <c r="H299" s="253"/>
      <c r="I299" s="115"/>
      <c r="J299" s="244" t="s">
        <v>64</v>
      </c>
      <c r="K299" s="245">
        <f t="shared" si="18"/>
        <v>290</v>
      </c>
      <c r="L299" s="246" t="s">
        <v>122</v>
      </c>
      <c r="M299" s="247">
        <v>44416.0</v>
      </c>
      <c r="N299" s="248" t="s">
        <v>20</v>
      </c>
      <c r="O299" s="249">
        <v>31.53</v>
      </c>
      <c r="P299" s="250">
        <v>1.0</v>
      </c>
      <c r="Q299" s="236">
        <f t="shared" si="17"/>
        <v>31.53</v>
      </c>
      <c r="R299" s="237" t="s">
        <v>20</v>
      </c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</row>
    <row r="300">
      <c r="A300" s="238" t="s">
        <v>64</v>
      </c>
      <c r="B300" s="239" t="s">
        <v>118</v>
      </c>
      <c r="C300" s="240">
        <v>44417.0</v>
      </c>
      <c r="D300" s="241" t="s">
        <v>135</v>
      </c>
      <c r="E300" s="327">
        <v>75.9</v>
      </c>
      <c r="F300" s="227" t="s">
        <v>14</v>
      </c>
      <c r="G300" s="227" t="s">
        <v>16</v>
      </c>
      <c r="H300" s="242"/>
      <c r="I300" s="115"/>
      <c r="J300" s="244" t="s">
        <v>64</v>
      </c>
      <c r="K300" s="245">
        <f t="shared" si="18"/>
        <v>291</v>
      </c>
      <c r="L300" s="246" t="s">
        <v>102</v>
      </c>
      <c r="M300" s="247">
        <v>44421.0</v>
      </c>
      <c r="N300" s="248" t="s">
        <v>149</v>
      </c>
      <c r="O300" s="249">
        <v>20.0</v>
      </c>
      <c r="P300" s="250">
        <v>1.0</v>
      </c>
      <c r="Q300" s="236">
        <f t="shared" si="17"/>
        <v>20</v>
      </c>
      <c r="R300" s="237" t="s">
        <v>14</v>
      </c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</row>
    <row r="301">
      <c r="A301" s="238" t="s">
        <v>64</v>
      </c>
      <c r="B301" s="239" t="s">
        <v>116</v>
      </c>
      <c r="C301" s="240">
        <v>44417.0</v>
      </c>
      <c r="D301" s="241" t="s">
        <v>231</v>
      </c>
      <c r="E301" s="327">
        <v>349.68</v>
      </c>
      <c r="F301" s="227" t="s">
        <v>14</v>
      </c>
      <c r="G301" s="227" t="s">
        <v>16</v>
      </c>
      <c r="H301" s="251" t="s">
        <v>17</v>
      </c>
      <c r="I301" s="115"/>
      <c r="J301" s="244" t="s">
        <v>64</v>
      </c>
      <c r="K301" s="317">
        <f t="shared" si="18"/>
        <v>292</v>
      </c>
      <c r="L301" s="246" t="s">
        <v>102</v>
      </c>
      <c r="M301" s="247">
        <v>44420.0</v>
      </c>
      <c r="N301" s="248" t="s">
        <v>282</v>
      </c>
      <c r="O301" s="249">
        <v>100.0</v>
      </c>
      <c r="P301" s="250">
        <v>1.0</v>
      </c>
      <c r="Q301" s="236">
        <f t="shared" si="17"/>
        <v>100</v>
      </c>
      <c r="R301" s="237" t="s">
        <v>27</v>
      </c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</row>
    <row r="302">
      <c r="A302" s="238" t="s">
        <v>64</v>
      </c>
      <c r="B302" s="239" t="s">
        <v>102</v>
      </c>
      <c r="C302" s="240">
        <v>44419.0</v>
      </c>
      <c r="D302" s="241" t="s">
        <v>275</v>
      </c>
      <c r="E302" s="327">
        <v>4.0</v>
      </c>
      <c r="F302" s="227" t="s">
        <v>24</v>
      </c>
      <c r="G302" s="227" t="s">
        <v>26</v>
      </c>
      <c r="H302" s="242"/>
      <c r="I302" s="115"/>
      <c r="J302" s="244" t="s">
        <v>64</v>
      </c>
      <c r="K302" s="317">
        <f t="shared" si="18"/>
        <v>293</v>
      </c>
      <c r="L302" s="246" t="s">
        <v>122</v>
      </c>
      <c r="M302" s="247">
        <v>44421.0</v>
      </c>
      <c r="N302" s="248" t="s">
        <v>243</v>
      </c>
      <c r="O302" s="249">
        <v>164.14</v>
      </c>
      <c r="P302" s="250">
        <v>1.0</v>
      </c>
      <c r="Q302" s="236">
        <f t="shared" si="17"/>
        <v>164.14</v>
      </c>
      <c r="R302" s="237" t="s">
        <v>27</v>
      </c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</row>
    <row r="303">
      <c r="A303" s="238" t="s">
        <v>64</v>
      </c>
      <c r="B303" s="239" t="s">
        <v>85</v>
      </c>
      <c r="C303" s="240">
        <v>44419.0</v>
      </c>
      <c r="D303" s="241" t="s">
        <v>283</v>
      </c>
      <c r="E303" s="327">
        <v>4.0</v>
      </c>
      <c r="F303" s="227" t="s">
        <v>24</v>
      </c>
      <c r="G303" s="227" t="s">
        <v>26</v>
      </c>
      <c r="H303" s="253"/>
      <c r="I303" s="115"/>
      <c r="J303" s="244" t="s">
        <v>64</v>
      </c>
      <c r="K303" s="317">
        <f t="shared" si="18"/>
        <v>294</v>
      </c>
      <c r="L303" s="246" t="s">
        <v>122</v>
      </c>
      <c r="M303" s="247">
        <v>44421.0</v>
      </c>
      <c r="N303" s="248" t="s">
        <v>244</v>
      </c>
      <c r="O303" s="249">
        <v>96.09</v>
      </c>
      <c r="P303" s="250">
        <v>1.0</v>
      </c>
      <c r="Q303" s="236">
        <f t="shared" si="17"/>
        <v>96.09</v>
      </c>
      <c r="R303" s="237" t="s">
        <v>27</v>
      </c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</row>
    <row r="304">
      <c r="A304" s="238" t="s">
        <v>64</v>
      </c>
      <c r="B304" s="239" t="s">
        <v>102</v>
      </c>
      <c r="C304" s="240">
        <v>44422.0</v>
      </c>
      <c r="D304" s="241" t="s">
        <v>275</v>
      </c>
      <c r="E304" s="327">
        <v>5.0</v>
      </c>
      <c r="F304" s="227" t="s">
        <v>24</v>
      </c>
      <c r="G304" s="227" t="s">
        <v>26</v>
      </c>
      <c r="H304" s="242"/>
      <c r="I304" s="115"/>
      <c r="J304" s="244" t="s">
        <v>64</v>
      </c>
      <c r="K304" s="317">
        <f t="shared" si="18"/>
        <v>295</v>
      </c>
      <c r="L304" s="246" t="s">
        <v>122</v>
      </c>
      <c r="M304" s="247">
        <v>44423.0</v>
      </c>
      <c r="N304" s="248" t="s">
        <v>20</v>
      </c>
      <c r="O304" s="249">
        <v>30.88</v>
      </c>
      <c r="P304" s="250">
        <v>1.0</v>
      </c>
      <c r="Q304" s="236">
        <f t="shared" si="17"/>
        <v>30.88</v>
      </c>
      <c r="R304" s="237" t="s">
        <v>20</v>
      </c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</row>
    <row r="305">
      <c r="A305" s="238" t="s">
        <v>64</v>
      </c>
      <c r="B305" s="239" t="s">
        <v>118</v>
      </c>
      <c r="C305" s="240">
        <v>44426.0</v>
      </c>
      <c r="D305" s="241" t="s">
        <v>136</v>
      </c>
      <c r="E305" s="327">
        <v>100.0</v>
      </c>
      <c r="F305" s="227" t="s">
        <v>14</v>
      </c>
      <c r="G305" s="227" t="s">
        <v>16</v>
      </c>
      <c r="H305" s="251"/>
      <c r="I305" s="115"/>
      <c r="J305" s="244" t="s">
        <v>64</v>
      </c>
      <c r="K305" s="317">
        <f t="shared" si="18"/>
        <v>296</v>
      </c>
      <c r="L305" s="246" t="s">
        <v>122</v>
      </c>
      <c r="M305" s="247">
        <v>44426.0</v>
      </c>
      <c r="N305" s="248" t="s">
        <v>20</v>
      </c>
      <c r="O305" s="249">
        <v>14.48</v>
      </c>
      <c r="P305" s="250">
        <v>1.0</v>
      </c>
      <c r="Q305" s="236">
        <f t="shared" si="17"/>
        <v>14.48</v>
      </c>
      <c r="R305" s="237" t="s">
        <v>20</v>
      </c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</row>
    <row r="306">
      <c r="A306" s="238" t="s">
        <v>64</v>
      </c>
      <c r="B306" s="239" t="s">
        <v>120</v>
      </c>
      <c r="C306" s="240">
        <v>44429.0</v>
      </c>
      <c r="D306" s="241" t="s">
        <v>194</v>
      </c>
      <c r="E306" s="327">
        <v>94.89</v>
      </c>
      <c r="F306" s="227" t="s">
        <v>14</v>
      </c>
      <c r="G306" s="227" t="s">
        <v>16</v>
      </c>
      <c r="H306" s="272"/>
      <c r="I306" s="115"/>
      <c r="J306" s="244" t="s">
        <v>64</v>
      </c>
      <c r="K306" s="317">
        <f t="shared" si="18"/>
        <v>297</v>
      </c>
      <c r="L306" s="246" t="s">
        <v>102</v>
      </c>
      <c r="M306" s="247">
        <v>44428.0</v>
      </c>
      <c r="N306" s="248" t="s">
        <v>133</v>
      </c>
      <c r="O306" s="249">
        <v>100.0</v>
      </c>
      <c r="P306" s="250">
        <v>1.0</v>
      </c>
      <c r="Q306" s="236">
        <f t="shared" si="17"/>
        <v>100</v>
      </c>
      <c r="R306" s="237" t="s">
        <v>27</v>
      </c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</row>
    <row r="307">
      <c r="A307" s="238" t="s">
        <v>64</v>
      </c>
      <c r="B307" s="239" t="s">
        <v>106</v>
      </c>
      <c r="C307" s="240">
        <v>44430.0</v>
      </c>
      <c r="D307" s="241" t="s">
        <v>284</v>
      </c>
      <c r="E307" s="300">
        <v>2.0</v>
      </c>
      <c r="F307" s="227" t="s">
        <v>24</v>
      </c>
      <c r="G307" s="227" t="s">
        <v>26</v>
      </c>
      <c r="H307" s="253"/>
      <c r="I307" s="115"/>
      <c r="J307" s="244" t="s">
        <v>64</v>
      </c>
      <c r="K307" s="317">
        <f t="shared" si="18"/>
        <v>298</v>
      </c>
      <c r="L307" s="246" t="s">
        <v>122</v>
      </c>
      <c r="M307" s="247">
        <v>44430.0</v>
      </c>
      <c r="N307" s="248" t="s">
        <v>20</v>
      </c>
      <c r="O307" s="249">
        <v>28.83</v>
      </c>
      <c r="P307" s="250">
        <v>1.0</v>
      </c>
      <c r="Q307" s="236">
        <f t="shared" si="17"/>
        <v>28.83</v>
      </c>
      <c r="R307" s="237" t="s">
        <v>20</v>
      </c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</row>
    <row r="308">
      <c r="A308" s="238" t="s">
        <v>64</v>
      </c>
      <c r="B308" s="239" t="s">
        <v>118</v>
      </c>
      <c r="C308" s="240">
        <v>44431.0</v>
      </c>
      <c r="D308" s="241" t="s">
        <v>188</v>
      </c>
      <c r="E308" s="300">
        <v>118.18</v>
      </c>
      <c r="F308" s="227" t="s">
        <v>14</v>
      </c>
      <c r="G308" s="227" t="s">
        <v>16</v>
      </c>
      <c r="H308" s="242"/>
      <c r="I308" s="115"/>
      <c r="J308" s="244" t="s">
        <v>64</v>
      </c>
      <c r="K308" s="317">
        <f t="shared" si="18"/>
        <v>299</v>
      </c>
      <c r="L308" s="246" t="s">
        <v>85</v>
      </c>
      <c r="M308" s="247">
        <v>44434.0</v>
      </c>
      <c r="N308" s="248" t="s">
        <v>249</v>
      </c>
      <c r="O308" s="249">
        <v>101.2</v>
      </c>
      <c r="P308" s="250">
        <v>1.0</v>
      </c>
      <c r="Q308" s="236">
        <f t="shared" si="17"/>
        <v>101.2</v>
      </c>
      <c r="R308" s="237" t="s">
        <v>14</v>
      </c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</row>
    <row r="309">
      <c r="A309" s="238" t="s">
        <v>64</v>
      </c>
      <c r="B309" s="239" t="s">
        <v>118</v>
      </c>
      <c r="C309" s="240">
        <v>44432.0</v>
      </c>
      <c r="D309" s="241" t="s">
        <v>262</v>
      </c>
      <c r="E309" s="300">
        <v>50.0</v>
      </c>
      <c r="F309" s="227" t="s">
        <v>24</v>
      </c>
      <c r="G309" s="227" t="s">
        <v>26</v>
      </c>
      <c r="H309" s="253"/>
      <c r="I309" s="115"/>
      <c r="J309" s="244" t="s">
        <v>64</v>
      </c>
      <c r="K309" s="317">
        <f t="shared" si="18"/>
        <v>300</v>
      </c>
      <c r="L309" s="246" t="s">
        <v>122</v>
      </c>
      <c r="M309" s="247">
        <v>44434.0</v>
      </c>
      <c r="N309" s="248" t="s">
        <v>20</v>
      </c>
      <c r="O309" s="249">
        <v>50.06</v>
      </c>
      <c r="P309" s="250">
        <v>1.0</v>
      </c>
      <c r="Q309" s="236">
        <f t="shared" si="17"/>
        <v>50.06</v>
      </c>
      <c r="R309" s="237" t="s">
        <v>20</v>
      </c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</row>
    <row r="310">
      <c r="A310" s="238" t="s">
        <v>64</v>
      </c>
      <c r="B310" s="239" t="s">
        <v>102</v>
      </c>
      <c r="C310" s="240">
        <v>44434.0</v>
      </c>
      <c r="D310" s="241" t="s">
        <v>275</v>
      </c>
      <c r="E310" s="300">
        <v>4.0</v>
      </c>
      <c r="F310" s="227" t="s">
        <v>24</v>
      </c>
      <c r="G310" s="227" t="s">
        <v>26</v>
      </c>
      <c r="H310" s="242"/>
      <c r="I310" s="115"/>
      <c r="J310" s="244" t="s">
        <v>64</v>
      </c>
      <c r="K310" s="317">
        <f t="shared" si="18"/>
        <v>301</v>
      </c>
      <c r="L310" s="246" t="s">
        <v>122</v>
      </c>
      <c r="M310" s="247">
        <v>44437.0</v>
      </c>
      <c r="N310" s="248" t="s">
        <v>20</v>
      </c>
      <c r="O310" s="249">
        <v>24.24</v>
      </c>
      <c r="P310" s="250">
        <v>1.0</v>
      </c>
      <c r="Q310" s="236">
        <f t="shared" si="17"/>
        <v>24.24</v>
      </c>
      <c r="R310" s="237" t="s">
        <v>20</v>
      </c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</row>
    <row r="311">
      <c r="A311" s="238" t="s">
        <v>64</v>
      </c>
      <c r="B311" s="239" t="s">
        <v>91</v>
      </c>
      <c r="C311" s="240">
        <v>44439.0</v>
      </c>
      <c r="D311" s="241" t="s">
        <v>146</v>
      </c>
      <c r="E311" s="300">
        <v>279.99</v>
      </c>
      <c r="F311" s="227" t="s">
        <v>14</v>
      </c>
      <c r="G311" s="227" t="s">
        <v>16</v>
      </c>
      <c r="H311" s="253"/>
      <c r="I311" s="115"/>
      <c r="J311" s="244" t="s">
        <v>64</v>
      </c>
      <c r="K311" s="317">
        <f t="shared" si="18"/>
        <v>302</v>
      </c>
      <c r="L311" s="246" t="s">
        <v>122</v>
      </c>
      <c r="M311" s="247">
        <v>44436.0</v>
      </c>
      <c r="N311" s="248" t="s">
        <v>244</v>
      </c>
      <c r="O311" s="249">
        <v>113.44</v>
      </c>
      <c r="P311" s="250">
        <v>1.0</v>
      </c>
      <c r="Q311" s="236">
        <f t="shared" si="17"/>
        <v>113.44</v>
      </c>
      <c r="R311" s="237" t="s">
        <v>20</v>
      </c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</row>
    <row r="312">
      <c r="A312" s="238" t="s">
        <v>64</v>
      </c>
      <c r="B312" s="239"/>
      <c r="C312" s="240"/>
      <c r="D312" s="241"/>
      <c r="E312" s="300"/>
      <c r="F312" s="227"/>
      <c r="G312" s="304"/>
      <c r="H312" s="242"/>
      <c r="I312" s="115"/>
      <c r="J312" s="244" t="s">
        <v>64</v>
      </c>
      <c r="K312" s="317">
        <f t="shared" si="18"/>
        <v>303</v>
      </c>
      <c r="L312" s="246" t="s">
        <v>120</v>
      </c>
      <c r="M312" s="247">
        <v>44439.0</v>
      </c>
      <c r="N312" s="248" t="s">
        <v>285</v>
      </c>
      <c r="O312" s="249">
        <v>17.04</v>
      </c>
      <c r="P312" s="250">
        <v>1.0</v>
      </c>
      <c r="Q312" s="236">
        <f t="shared" si="17"/>
        <v>17.04</v>
      </c>
      <c r="R312" s="237" t="s">
        <v>14</v>
      </c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</row>
    <row r="313">
      <c r="A313" s="238" t="s">
        <v>64</v>
      </c>
      <c r="B313" s="239"/>
      <c r="C313" s="240"/>
      <c r="D313" s="241"/>
      <c r="E313" s="300"/>
      <c r="F313" s="227"/>
      <c r="G313" s="304"/>
      <c r="H313" s="253"/>
      <c r="I313" s="115"/>
      <c r="J313" s="244" t="s">
        <v>64</v>
      </c>
      <c r="K313" s="317">
        <f t="shared" si="18"/>
        <v>304</v>
      </c>
      <c r="L313" s="256"/>
      <c r="M313" s="257"/>
      <c r="N313" s="258"/>
      <c r="O313" s="252"/>
      <c r="P313" s="259"/>
      <c r="Q313" s="236" t="str">
        <f t="shared" si="17"/>
        <v/>
      </c>
      <c r="R313" s="237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</row>
    <row r="314">
      <c r="A314" s="238" t="s">
        <v>64</v>
      </c>
      <c r="B314" s="239"/>
      <c r="C314" s="240"/>
      <c r="D314" s="241"/>
      <c r="E314" s="300"/>
      <c r="F314" s="227"/>
      <c r="G314" s="304"/>
      <c r="H314" s="242"/>
      <c r="I314" s="115"/>
      <c r="J314" s="244" t="s">
        <v>64</v>
      </c>
      <c r="K314" s="317">
        <f t="shared" si="18"/>
        <v>305</v>
      </c>
      <c r="L314" s="256"/>
      <c r="M314" s="257"/>
      <c r="N314" s="258"/>
      <c r="O314" s="252"/>
      <c r="P314" s="259"/>
      <c r="Q314" s="236" t="str">
        <f t="shared" si="17"/>
        <v/>
      </c>
      <c r="R314" s="237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</row>
    <row r="315">
      <c r="A315" s="238" t="s">
        <v>64</v>
      </c>
      <c r="B315" s="239"/>
      <c r="C315" s="240"/>
      <c r="D315" s="241"/>
      <c r="E315" s="300"/>
      <c r="F315" s="227"/>
      <c r="G315" s="304"/>
      <c r="H315" s="253"/>
      <c r="I315" s="115"/>
      <c r="J315" s="244" t="s">
        <v>64</v>
      </c>
      <c r="K315" s="317">
        <f t="shared" si="18"/>
        <v>306</v>
      </c>
      <c r="L315" s="256"/>
      <c r="M315" s="257"/>
      <c r="N315" s="258"/>
      <c r="O315" s="252"/>
      <c r="P315" s="259"/>
      <c r="Q315" s="236" t="str">
        <f t="shared" si="17"/>
        <v/>
      </c>
      <c r="R315" s="237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</row>
    <row r="316">
      <c r="A316" s="238" t="s">
        <v>64</v>
      </c>
      <c r="B316" s="239"/>
      <c r="C316" s="240"/>
      <c r="D316" s="241"/>
      <c r="E316" s="300"/>
      <c r="F316" s="227"/>
      <c r="G316" s="304"/>
      <c r="H316" s="242"/>
      <c r="I316" s="115"/>
      <c r="J316" s="244" t="s">
        <v>64</v>
      </c>
      <c r="K316" s="317">
        <f t="shared" si="18"/>
        <v>307</v>
      </c>
      <c r="L316" s="256"/>
      <c r="M316" s="257"/>
      <c r="N316" s="258"/>
      <c r="O316" s="252"/>
      <c r="P316" s="259"/>
      <c r="Q316" s="236" t="str">
        <f t="shared" si="17"/>
        <v/>
      </c>
      <c r="R316" s="237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</row>
    <row r="317">
      <c r="A317" s="238" t="s">
        <v>64</v>
      </c>
      <c r="B317" s="239"/>
      <c r="C317" s="240"/>
      <c r="D317" s="241"/>
      <c r="E317" s="300"/>
      <c r="F317" s="227"/>
      <c r="G317" s="304"/>
      <c r="H317" s="253"/>
      <c r="I317" s="115"/>
      <c r="J317" s="244" t="s">
        <v>64</v>
      </c>
      <c r="K317" s="317">
        <f t="shared" si="18"/>
        <v>308</v>
      </c>
      <c r="L317" s="256"/>
      <c r="M317" s="257"/>
      <c r="N317" s="258"/>
      <c r="O317" s="252"/>
      <c r="P317" s="259"/>
      <c r="Q317" s="236" t="str">
        <f t="shared" si="17"/>
        <v/>
      </c>
      <c r="R317" s="237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</row>
    <row r="318">
      <c r="A318" s="238" t="s">
        <v>64</v>
      </c>
      <c r="B318" s="239"/>
      <c r="C318" s="240"/>
      <c r="D318" s="241"/>
      <c r="E318" s="300"/>
      <c r="F318" s="227"/>
      <c r="G318" s="304"/>
      <c r="H318" s="242"/>
      <c r="I318" s="115"/>
      <c r="J318" s="244" t="s">
        <v>64</v>
      </c>
      <c r="K318" s="317">
        <f t="shared" si="18"/>
        <v>309</v>
      </c>
      <c r="L318" s="256"/>
      <c r="M318" s="257"/>
      <c r="N318" s="258"/>
      <c r="O318" s="252"/>
      <c r="P318" s="259"/>
      <c r="Q318" s="236" t="str">
        <f t="shared" si="17"/>
        <v/>
      </c>
      <c r="R318" s="237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</row>
    <row r="319">
      <c r="A319" s="238" t="s">
        <v>64</v>
      </c>
      <c r="B319" s="239"/>
      <c r="C319" s="240"/>
      <c r="D319" s="241"/>
      <c r="E319" s="300"/>
      <c r="F319" s="227"/>
      <c r="G319" s="304"/>
      <c r="H319" s="253"/>
      <c r="I319" s="115"/>
      <c r="J319" s="244" t="s">
        <v>64</v>
      </c>
      <c r="K319" s="317">
        <f t="shared" si="18"/>
        <v>310</v>
      </c>
      <c r="L319" s="256"/>
      <c r="M319" s="257"/>
      <c r="N319" s="258"/>
      <c r="O319" s="252"/>
      <c r="P319" s="259"/>
      <c r="Q319" s="236" t="str">
        <f t="shared" si="17"/>
        <v/>
      </c>
      <c r="R319" s="237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</row>
    <row r="320">
      <c r="A320" s="238" t="s">
        <v>64</v>
      </c>
      <c r="B320" s="239"/>
      <c r="C320" s="240"/>
      <c r="D320" s="241"/>
      <c r="E320" s="300"/>
      <c r="F320" s="227"/>
      <c r="G320" s="304"/>
      <c r="H320" s="242"/>
      <c r="I320" s="115"/>
      <c r="J320" s="244" t="s">
        <v>64</v>
      </c>
      <c r="K320" s="317">
        <f t="shared" si="18"/>
        <v>311</v>
      </c>
      <c r="L320" s="256"/>
      <c r="M320" s="257"/>
      <c r="N320" s="258"/>
      <c r="O320" s="252"/>
      <c r="P320" s="259"/>
      <c r="Q320" s="236" t="str">
        <f t="shared" si="17"/>
        <v/>
      </c>
      <c r="R320" s="237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</row>
    <row r="321">
      <c r="A321" s="238" t="s">
        <v>64</v>
      </c>
      <c r="B321" s="239"/>
      <c r="C321" s="240"/>
      <c r="D321" s="241"/>
      <c r="E321" s="300"/>
      <c r="F321" s="227"/>
      <c r="G321" s="227"/>
      <c r="H321" s="253"/>
      <c r="I321" s="115"/>
      <c r="J321" s="244" t="s">
        <v>64</v>
      </c>
      <c r="K321" s="321">
        <f t="shared" si="18"/>
        <v>312</v>
      </c>
      <c r="L321" s="266"/>
      <c r="M321" s="267"/>
      <c r="N321" s="268"/>
      <c r="O321" s="269"/>
      <c r="P321" s="270"/>
      <c r="Q321" s="236" t="str">
        <f t="shared" si="17"/>
        <v/>
      </c>
      <c r="R321" s="237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</row>
    <row r="322">
      <c r="A322" s="238" t="s">
        <v>64</v>
      </c>
      <c r="B322" s="239"/>
      <c r="C322" s="240"/>
      <c r="D322" s="241"/>
      <c r="E322" s="300"/>
      <c r="F322" s="227"/>
      <c r="G322" s="227"/>
      <c r="H322" s="242"/>
      <c r="I322" s="115"/>
      <c r="J322" s="244" t="s">
        <v>64</v>
      </c>
      <c r="K322" s="321">
        <f t="shared" si="18"/>
        <v>313</v>
      </c>
      <c r="L322" s="266"/>
      <c r="M322" s="267"/>
      <c r="N322" s="268"/>
      <c r="O322" s="269"/>
      <c r="P322" s="270"/>
      <c r="Q322" s="236" t="str">
        <f t="shared" si="17"/>
        <v/>
      </c>
      <c r="R322" s="237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</row>
    <row r="323">
      <c r="A323" s="238" t="s">
        <v>64</v>
      </c>
      <c r="B323" s="239"/>
      <c r="C323" s="240"/>
      <c r="D323" s="241"/>
      <c r="E323" s="300"/>
      <c r="F323" s="227"/>
      <c r="G323" s="227"/>
      <c r="H323" s="253"/>
      <c r="I323" s="115"/>
      <c r="J323" s="244" t="s">
        <v>64</v>
      </c>
      <c r="K323" s="321">
        <f t="shared" si="18"/>
        <v>314</v>
      </c>
      <c r="L323" s="266"/>
      <c r="M323" s="267"/>
      <c r="N323" s="268"/>
      <c r="O323" s="269"/>
      <c r="P323" s="270"/>
      <c r="Q323" s="236" t="str">
        <f t="shared" si="17"/>
        <v/>
      </c>
      <c r="R323" s="237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</row>
    <row r="324">
      <c r="A324" s="238" t="s">
        <v>64</v>
      </c>
      <c r="B324" s="239"/>
      <c r="C324" s="240"/>
      <c r="D324" s="241"/>
      <c r="E324" s="300"/>
      <c r="F324" s="227"/>
      <c r="G324" s="227"/>
      <c r="H324" s="242"/>
      <c r="I324" s="115"/>
      <c r="J324" s="244" t="s">
        <v>64</v>
      </c>
      <c r="K324" s="321">
        <f t="shared" si="18"/>
        <v>315</v>
      </c>
      <c r="L324" s="266"/>
      <c r="M324" s="267"/>
      <c r="N324" s="268"/>
      <c r="O324" s="269"/>
      <c r="P324" s="270"/>
      <c r="Q324" s="236" t="str">
        <f t="shared" si="17"/>
        <v/>
      </c>
      <c r="R324" s="237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</row>
    <row r="325">
      <c r="A325" s="238" t="s">
        <v>64</v>
      </c>
      <c r="B325" s="239"/>
      <c r="C325" s="240"/>
      <c r="D325" s="241"/>
      <c r="E325" s="300"/>
      <c r="F325" s="227"/>
      <c r="G325" s="227"/>
      <c r="H325" s="253"/>
      <c r="I325" s="115"/>
      <c r="J325" s="244" t="s">
        <v>64</v>
      </c>
      <c r="K325" s="321">
        <f t="shared" si="18"/>
        <v>316</v>
      </c>
      <c r="L325" s="266"/>
      <c r="M325" s="267"/>
      <c r="N325" s="268"/>
      <c r="O325" s="269"/>
      <c r="P325" s="270"/>
      <c r="Q325" s="236" t="str">
        <f t="shared" si="17"/>
        <v/>
      </c>
      <c r="R325" s="237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</row>
    <row r="326">
      <c r="A326" s="238" t="s">
        <v>64</v>
      </c>
      <c r="B326" s="239"/>
      <c r="C326" s="240"/>
      <c r="D326" s="241"/>
      <c r="E326" s="300"/>
      <c r="F326" s="227"/>
      <c r="G326" s="227"/>
      <c r="H326" s="242"/>
      <c r="I326" s="115"/>
      <c r="J326" s="244" t="s">
        <v>64</v>
      </c>
      <c r="K326" s="321">
        <f t="shared" si="18"/>
        <v>317</v>
      </c>
      <c r="L326" s="266"/>
      <c r="M326" s="267"/>
      <c r="N326" s="268"/>
      <c r="O326" s="269"/>
      <c r="P326" s="270"/>
      <c r="Q326" s="236" t="str">
        <f t="shared" si="17"/>
        <v/>
      </c>
      <c r="R326" s="237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</row>
    <row r="327">
      <c r="A327" s="238" t="s">
        <v>64</v>
      </c>
      <c r="B327" s="239"/>
      <c r="C327" s="240"/>
      <c r="D327" s="241"/>
      <c r="E327" s="300"/>
      <c r="F327" s="227"/>
      <c r="G327" s="227"/>
      <c r="H327" s="253"/>
      <c r="I327" s="115"/>
      <c r="J327" s="244" t="s">
        <v>64</v>
      </c>
      <c r="K327" s="321">
        <f t="shared" si="18"/>
        <v>318</v>
      </c>
      <c r="L327" s="266"/>
      <c r="M327" s="267"/>
      <c r="N327" s="268"/>
      <c r="O327" s="269"/>
      <c r="P327" s="270"/>
      <c r="Q327" s="236" t="str">
        <f t="shared" si="17"/>
        <v/>
      </c>
      <c r="R327" s="273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</row>
    <row r="328">
      <c r="A328" s="238" t="s">
        <v>64</v>
      </c>
      <c r="B328" s="239"/>
      <c r="C328" s="240"/>
      <c r="D328" s="241"/>
      <c r="E328" s="300"/>
      <c r="F328" s="227"/>
      <c r="G328" s="227"/>
      <c r="H328" s="242"/>
      <c r="I328" s="115"/>
      <c r="J328" s="244" t="s">
        <v>64</v>
      </c>
      <c r="K328" s="321">
        <f t="shared" si="18"/>
        <v>319</v>
      </c>
      <c r="L328" s="266"/>
      <c r="M328" s="267"/>
      <c r="N328" s="227"/>
      <c r="O328" s="234"/>
      <c r="P328" s="235"/>
      <c r="Q328" s="236" t="str">
        <f t="shared" si="17"/>
        <v/>
      </c>
      <c r="R328" s="273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</row>
    <row r="329">
      <c r="A329" s="238" t="s">
        <v>64</v>
      </c>
      <c r="B329" s="239"/>
      <c r="C329" s="240"/>
      <c r="D329" s="241"/>
      <c r="E329" s="300"/>
      <c r="F329" s="227"/>
      <c r="G329" s="227"/>
      <c r="H329" s="253"/>
      <c r="I329" s="115"/>
      <c r="J329" s="244" t="s">
        <v>64</v>
      </c>
      <c r="K329" s="321">
        <f t="shared" si="18"/>
        <v>320</v>
      </c>
      <c r="L329" s="266"/>
      <c r="M329" s="267"/>
      <c r="N329" s="227"/>
      <c r="O329" s="234"/>
      <c r="P329" s="235"/>
      <c r="Q329" s="236" t="str">
        <f t="shared" si="17"/>
        <v/>
      </c>
      <c r="R329" s="273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</row>
    <row r="330">
      <c r="A330" s="238" t="s">
        <v>64</v>
      </c>
      <c r="B330" s="239"/>
      <c r="C330" s="240"/>
      <c r="D330" s="241"/>
      <c r="E330" s="300"/>
      <c r="F330" s="227"/>
      <c r="G330" s="227"/>
      <c r="H330" s="242"/>
      <c r="I330" s="115"/>
      <c r="J330" s="244" t="s">
        <v>64</v>
      </c>
      <c r="K330" s="321">
        <f t="shared" si="18"/>
        <v>321</v>
      </c>
      <c r="L330" s="266"/>
      <c r="M330" s="267"/>
      <c r="N330" s="274"/>
      <c r="O330" s="234"/>
      <c r="P330" s="235"/>
      <c r="Q330" s="236" t="str">
        <f t="shared" si="17"/>
        <v/>
      </c>
      <c r="R330" s="273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</row>
    <row r="331">
      <c r="A331" s="238" t="s">
        <v>64</v>
      </c>
      <c r="B331" s="239"/>
      <c r="C331" s="240"/>
      <c r="D331" s="241"/>
      <c r="E331" s="300"/>
      <c r="F331" s="227"/>
      <c r="G331" s="227"/>
      <c r="H331" s="253"/>
      <c r="I331" s="115"/>
      <c r="J331" s="244" t="s">
        <v>64</v>
      </c>
      <c r="K331" s="321">
        <f t="shared" si="18"/>
        <v>322</v>
      </c>
      <c r="L331" s="266"/>
      <c r="M331" s="267"/>
      <c r="N331" s="274"/>
      <c r="O331" s="234"/>
      <c r="P331" s="235"/>
      <c r="Q331" s="236" t="str">
        <f t="shared" si="17"/>
        <v/>
      </c>
      <c r="R331" s="273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</row>
    <row r="332">
      <c r="A332" s="238" t="s">
        <v>64</v>
      </c>
      <c r="B332" s="239"/>
      <c r="C332" s="240"/>
      <c r="D332" s="241"/>
      <c r="E332" s="300"/>
      <c r="F332" s="227"/>
      <c r="G332" s="227"/>
      <c r="H332" s="242"/>
      <c r="I332" s="115"/>
      <c r="J332" s="244" t="s">
        <v>64</v>
      </c>
      <c r="K332" s="321">
        <f t="shared" si="18"/>
        <v>323</v>
      </c>
      <c r="L332" s="266"/>
      <c r="M332" s="267"/>
      <c r="N332" s="274"/>
      <c r="O332" s="234"/>
      <c r="P332" s="235"/>
      <c r="Q332" s="236" t="str">
        <f t="shared" si="17"/>
        <v/>
      </c>
      <c r="R332" s="273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</row>
    <row r="333">
      <c r="A333" s="238" t="s">
        <v>64</v>
      </c>
      <c r="B333" s="239"/>
      <c r="C333" s="240"/>
      <c r="D333" s="241"/>
      <c r="E333" s="300"/>
      <c r="F333" s="227"/>
      <c r="G333" s="227"/>
      <c r="H333" s="253"/>
      <c r="I333" s="115"/>
      <c r="J333" s="244" t="s">
        <v>64</v>
      </c>
      <c r="K333" s="321">
        <f t="shared" si="18"/>
        <v>324</v>
      </c>
      <c r="L333" s="266"/>
      <c r="M333" s="267"/>
      <c r="N333" s="275"/>
      <c r="O333" s="269"/>
      <c r="P333" s="270"/>
      <c r="Q333" s="236" t="str">
        <f t="shared" si="17"/>
        <v/>
      </c>
      <c r="R333" s="273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</row>
    <row r="334">
      <c r="A334" s="238" t="s">
        <v>64</v>
      </c>
      <c r="B334" s="239"/>
      <c r="C334" s="240"/>
      <c r="D334" s="241"/>
      <c r="E334" s="300"/>
      <c r="F334" s="227"/>
      <c r="G334" s="227"/>
      <c r="H334" s="242"/>
      <c r="I334" s="115"/>
      <c r="J334" s="244" t="s">
        <v>64</v>
      </c>
      <c r="K334" s="321">
        <f t="shared" si="18"/>
        <v>325</v>
      </c>
      <c r="L334" s="266"/>
      <c r="M334" s="267"/>
      <c r="N334" s="275"/>
      <c r="O334" s="269"/>
      <c r="P334" s="270"/>
      <c r="Q334" s="236" t="str">
        <f t="shared" si="17"/>
        <v/>
      </c>
      <c r="R334" s="273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</row>
    <row r="335">
      <c r="A335" s="238" t="s">
        <v>64</v>
      </c>
      <c r="B335" s="239"/>
      <c r="C335" s="240"/>
      <c r="D335" s="241"/>
      <c r="E335" s="300"/>
      <c r="F335" s="227"/>
      <c r="G335" s="227"/>
      <c r="H335" s="253"/>
      <c r="I335" s="115"/>
      <c r="J335" s="244" t="s">
        <v>64</v>
      </c>
      <c r="K335" s="321">
        <f t="shared" si="18"/>
        <v>326</v>
      </c>
      <c r="L335" s="266"/>
      <c r="M335" s="267"/>
      <c r="N335" s="275"/>
      <c r="O335" s="269"/>
      <c r="P335" s="270"/>
      <c r="Q335" s="236" t="str">
        <f t="shared" si="17"/>
        <v/>
      </c>
      <c r="R335" s="273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</row>
    <row r="336">
      <c r="A336" s="238" t="s">
        <v>64</v>
      </c>
      <c r="B336" s="239"/>
      <c r="C336" s="240"/>
      <c r="D336" s="241"/>
      <c r="E336" s="300"/>
      <c r="F336" s="227"/>
      <c r="G336" s="227"/>
      <c r="H336" s="242"/>
      <c r="I336" s="115"/>
      <c r="J336" s="244" t="s">
        <v>64</v>
      </c>
      <c r="K336" s="321">
        <f t="shared" si="18"/>
        <v>327</v>
      </c>
      <c r="L336" s="266"/>
      <c r="M336" s="267"/>
      <c r="N336" s="274"/>
      <c r="O336" s="269"/>
      <c r="P336" s="235"/>
      <c r="Q336" s="236" t="str">
        <f t="shared" si="17"/>
        <v/>
      </c>
      <c r="R336" s="273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</row>
    <row r="337">
      <c r="A337" s="276" t="s">
        <v>64</v>
      </c>
      <c r="B337" s="306"/>
      <c r="C337" s="307"/>
      <c r="D337" s="308"/>
      <c r="E337" s="309"/>
      <c r="F337" s="277"/>
      <c r="G337" s="277"/>
      <c r="H337" s="278"/>
      <c r="I337" s="115"/>
      <c r="J337" s="279" t="s">
        <v>64</v>
      </c>
      <c r="K337" s="322">
        <f t="shared" si="18"/>
        <v>328</v>
      </c>
      <c r="L337" s="311"/>
      <c r="M337" s="280"/>
      <c r="N337" s="281"/>
      <c r="O337" s="282"/>
      <c r="P337" s="283"/>
      <c r="Q337" s="236" t="str">
        <f t="shared" si="17"/>
        <v/>
      </c>
      <c r="R337" s="28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</row>
    <row r="338">
      <c r="A338" s="115"/>
      <c r="B338" s="265"/>
      <c r="C338" s="115"/>
      <c r="D338" s="115"/>
      <c r="E338" s="115"/>
      <c r="F338" s="115"/>
      <c r="G338" s="115"/>
      <c r="H338" s="115"/>
      <c r="I338" s="115"/>
      <c r="J338" s="115"/>
      <c r="K338" s="316"/>
      <c r="L338" s="265"/>
      <c r="M338" s="115"/>
      <c r="N338" s="115"/>
      <c r="O338" s="290"/>
      <c r="P338" s="316"/>
      <c r="Q338" s="323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</row>
    <row r="339">
      <c r="A339" s="221" t="s">
        <v>65</v>
      </c>
      <c r="B339" s="222" t="s">
        <v>118</v>
      </c>
      <c r="C339" s="223">
        <v>44440.0</v>
      </c>
      <c r="D339" s="224" t="s">
        <v>236</v>
      </c>
      <c r="E339" s="292">
        <v>100.0</v>
      </c>
      <c r="F339" s="226" t="s">
        <v>14</v>
      </c>
      <c r="G339" s="226" t="s">
        <v>16</v>
      </c>
      <c r="H339" s="228"/>
      <c r="I339" s="115"/>
      <c r="J339" s="230" t="s">
        <v>65</v>
      </c>
      <c r="K339" s="293">
        <f>K337+1</f>
        <v>329</v>
      </c>
      <c r="L339" s="226" t="s">
        <v>102</v>
      </c>
      <c r="M339" s="294">
        <v>44441.0</v>
      </c>
      <c r="N339" s="295" t="s">
        <v>282</v>
      </c>
      <c r="O339" s="296">
        <v>100.0</v>
      </c>
      <c r="P339" s="297">
        <v>1.0</v>
      </c>
      <c r="Q339" s="236">
        <f t="shared" ref="Q339:Q379" si="19">iferror($O339/$P339,"")</f>
        <v>100</v>
      </c>
      <c r="R339" s="299" t="s">
        <v>27</v>
      </c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</row>
    <row r="340">
      <c r="A340" s="238" t="s">
        <v>65</v>
      </c>
      <c r="B340" s="239" t="s">
        <v>85</v>
      </c>
      <c r="C340" s="240">
        <v>44442.0</v>
      </c>
      <c r="D340" s="241" t="s">
        <v>279</v>
      </c>
      <c r="E340" s="300">
        <v>16.0</v>
      </c>
      <c r="F340" s="227" t="s">
        <v>14</v>
      </c>
      <c r="G340" s="227" t="s">
        <v>16</v>
      </c>
      <c r="H340" s="242"/>
      <c r="I340" s="115"/>
      <c r="J340" s="244" t="s">
        <v>65</v>
      </c>
      <c r="K340" s="245">
        <f t="shared" ref="K340:K379" si="20">K339+1</f>
        <v>330</v>
      </c>
      <c r="L340" s="246" t="s">
        <v>122</v>
      </c>
      <c r="M340" s="247">
        <v>44446.0</v>
      </c>
      <c r="N340" s="248" t="s">
        <v>20</v>
      </c>
      <c r="O340" s="249">
        <v>37.24</v>
      </c>
      <c r="P340" s="250">
        <v>1.0</v>
      </c>
      <c r="Q340" s="236">
        <f t="shared" si="19"/>
        <v>37.24</v>
      </c>
      <c r="R340" s="237" t="s">
        <v>20</v>
      </c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</row>
    <row r="341">
      <c r="A341" s="238" t="s">
        <v>65</v>
      </c>
      <c r="B341" s="239" t="s">
        <v>85</v>
      </c>
      <c r="C341" s="240">
        <v>44442.0</v>
      </c>
      <c r="D341" s="241" t="s">
        <v>286</v>
      </c>
      <c r="E341" s="300">
        <v>16.4</v>
      </c>
      <c r="F341" s="227" t="s">
        <v>14</v>
      </c>
      <c r="G341" s="227" t="s">
        <v>16</v>
      </c>
      <c r="H341" s="253"/>
      <c r="I341" s="115"/>
      <c r="J341" s="244" t="s">
        <v>65</v>
      </c>
      <c r="K341" s="245">
        <f t="shared" si="20"/>
        <v>331</v>
      </c>
      <c r="L341" s="246" t="s">
        <v>102</v>
      </c>
      <c r="M341" s="247">
        <v>44447.0</v>
      </c>
      <c r="N341" s="248" t="s">
        <v>270</v>
      </c>
      <c r="O341" s="249">
        <v>16.94</v>
      </c>
      <c r="P341" s="250">
        <v>1.0</v>
      </c>
      <c r="Q341" s="236">
        <f t="shared" si="19"/>
        <v>16.94</v>
      </c>
      <c r="R341" s="237" t="s">
        <v>14</v>
      </c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</row>
    <row r="342">
      <c r="A342" s="238" t="s">
        <v>65</v>
      </c>
      <c r="B342" s="239" t="s">
        <v>98</v>
      </c>
      <c r="C342" s="240">
        <v>44442.0</v>
      </c>
      <c r="D342" s="241" t="s">
        <v>287</v>
      </c>
      <c r="E342" s="300">
        <v>17.16</v>
      </c>
      <c r="F342" s="227" t="s">
        <v>14</v>
      </c>
      <c r="G342" s="227" t="s">
        <v>16</v>
      </c>
      <c r="H342" s="242"/>
      <c r="I342" s="115"/>
      <c r="J342" s="244" t="s">
        <v>65</v>
      </c>
      <c r="K342" s="245">
        <f t="shared" si="20"/>
        <v>332</v>
      </c>
      <c r="L342" s="246" t="s">
        <v>122</v>
      </c>
      <c r="M342" s="247">
        <v>44449.0</v>
      </c>
      <c r="N342" s="248" t="s">
        <v>20</v>
      </c>
      <c r="O342" s="249">
        <v>24.97</v>
      </c>
      <c r="P342" s="250">
        <v>1.0</v>
      </c>
      <c r="Q342" s="236">
        <f t="shared" si="19"/>
        <v>24.97</v>
      </c>
      <c r="R342" s="237" t="s">
        <v>20</v>
      </c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</row>
    <row r="343">
      <c r="A343" s="238" t="s">
        <v>65</v>
      </c>
      <c r="B343" s="239" t="s">
        <v>116</v>
      </c>
      <c r="C343" s="240">
        <v>44443.0</v>
      </c>
      <c r="D343" s="241" t="s">
        <v>231</v>
      </c>
      <c r="E343" s="300">
        <v>600.13</v>
      </c>
      <c r="F343" s="227" t="s">
        <v>14</v>
      </c>
      <c r="G343" s="227" t="s">
        <v>16</v>
      </c>
      <c r="H343" s="251" t="s">
        <v>17</v>
      </c>
      <c r="I343" s="115"/>
      <c r="J343" s="244" t="s">
        <v>65</v>
      </c>
      <c r="K343" s="317">
        <f t="shared" si="20"/>
        <v>333</v>
      </c>
      <c r="L343" s="246" t="s">
        <v>118</v>
      </c>
      <c r="M343" s="247">
        <v>44452.0</v>
      </c>
      <c r="N343" s="248" t="s">
        <v>288</v>
      </c>
      <c r="O343" s="249">
        <v>60.0</v>
      </c>
      <c r="P343" s="250">
        <v>1.0</v>
      </c>
      <c r="Q343" s="236">
        <f t="shared" si="19"/>
        <v>60</v>
      </c>
      <c r="R343" s="237" t="s">
        <v>20</v>
      </c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</row>
    <row r="344">
      <c r="A344" s="238" t="s">
        <v>65</v>
      </c>
      <c r="B344" s="239" t="s">
        <v>102</v>
      </c>
      <c r="C344" s="240">
        <v>44446.0</v>
      </c>
      <c r="D344" s="241" t="s">
        <v>175</v>
      </c>
      <c r="E344" s="300">
        <v>33.0</v>
      </c>
      <c r="F344" s="227" t="s">
        <v>14</v>
      </c>
      <c r="G344" s="227" t="s">
        <v>16</v>
      </c>
      <c r="H344" s="242"/>
      <c r="I344" s="115"/>
      <c r="J344" s="244" t="s">
        <v>65</v>
      </c>
      <c r="K344" s="317">
        <f t="shared" si="20"/>
        <v>334</v>
      </c>
      <c r="L344" s="246" t="s">
        <v>122</v>
      </c>
      <c r="M344" s="247">
        <v>44452.0</v>
      </c>
      <c r="N344" s="248" t="s">
        <v>20</v>
      </c>
      <c r="O344" s="249">
        <v>56.96</v>
      </c>
      <c r="P344" s="250">
        <v>1.0</v>
      </c>
      <c r="Q344" s="236">
        <f t="shared" si="19"/>
        <v>56.96</v>
      </c>
      <c r="R344" s="237" t="s">
        <v>20</v>
      </c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</row>
    <row r="345">
      <c r="A345" s="238" t="s">
        <v>65</v>
      </c>
      <c r="B345" s="239" t="s">
        <v>98</v>
      </c>
      <c r="C345" s="240">
        <v>44451.0</v>
      </c>
      <c r="D345" s="241" t="s">
        <v>289</v>
      </c>
      <c r="E345" s="300">
        <v>34.0</v>
      </c>
      <c r="F345" s="227" t="s">
        <v>24</v>
      </c>
      <c r="G345" s="227" t="s">
        <v>26</v>
      </c>
      <c r="H345" s="253"/>
      <c r="I345" s="115"/>
      <c r="J345" s="244" t="s">
        <v>65</v>
      </c>
      <c r="K345" s="317">
        <f t="shared" si="20"/>
        <v>335</v>
      </c>
      <c r="L345" s="246" t="s">
        <v>122</v>
      </c>
      <c r="M345" s="247">
        <v>44453.0</v>
      </c>
      <c r="N345" s="248" t="s">
        <v>244</v>
      </c>
      <c r="O345" s="249">
        <v>113.19</v>
      </c>
      <c r="P345" s="250">
        <v>1.0</v>
      </c>
      <c r="Q345" s="236">
        <f t="shared" si="19"/>
        <v>113.19</v>
      </c>
      <c r="R345" s="237" t="s">
        <v>20</v>
      </c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</row>
    <row r="346">
      <c r="A346" s="238" t="s">
        <v>65</v>
      </c>
      <c r="B346" s="239" t="s">
        <v>95</v>
      </c>
      <c r="C346" s="240">
        <v>44451.0</v>
      </c>
      <c r="D346" s="241" t="s">
        <v>149</v>
      </c>
      <c r="E346" s="300">
        <v>100.0</v>
      </c>
      <c r="F346" s="227" t="s">
        <v>14</v>
      </c>
      <c r="G346" s="227" t="s">
        <v>16</v>
      </c>
      <c r="H346" s="242"/>
      <c r="I346" s="115"/>
      <c r="J346" s="244" t="s">
        <v>65</v>
      </c>
      <c r="K346" s="317">
        <f t="shared" si="20"/>
        <v>336</v>
      </c>
      <c r="L346" s="246" t="s">
        <v>122</v>
      </c>
      <c r="M346" s="247">
        <v>44457.0</v>
      </c>
      <c r="N346" s="248" t="s">
        <v>20</v>
      </c>
      <c r="O346" s="249">
        <v>57.12</v>
      </c>
      <c r="P346" s="250">
        <v>1.0</v>
      </c>
      <c r="Q346" s="236">
        <f t="shared" si="19"/>
        <v>57.12</v>
      </c>
      <c r="R346" s="237" t="s">
        <v>20</v>
      </c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</row>
    <row r="347">
      <c r="A347" s="238" t="s">
        <v>65</v>
      </c>
      <c r="B347" s="239" t="s">
        <v>95</v>
      </c>
      <c r="C347" s="240">
        <v>44451.0</v>
      </c>
      <c r="D347" s="241" t="s">
        <v>149</v>
      </c>
      <c r="E347" s="300">
        <v>1.0</v>
      </c>
      <c r="F347" s="227" t="s">
        <v>24</v>
      </c>
      <c r="G347" s="227" t="s">
        <v>26</v>
      </c>
      <c r="H347" s="251"/>
      <c r="I347" s="115"/>
      <c r="J347" s="244" t="s">
        <v>65</v>
      </c>
      <c r="K347" s="317">
        <f t="shared" si="20"/>
        <v>337</v>
      </c>
      <c r="L347" s="246" t="s">
        <v>85</v>
      </c>
      <c r="M347" s="247">
        <v>44457.0</v>
      </c>
      <c r="N347" s="248" t="s">
        <v>290</v>
      </c>
      <c r="O347" s="249">
        <v>68.0</v>
      </c>
      <c r="P347" s="250">
        <v>1.0</v>
      </c>
      <c r="Q347" s="236">
        <f t="shared" si="19"/>
        <v>68</v>
      </c>
      <c r="R347" s="237" t="s">
        <v>14</v>
      </c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</row>
    <row r="348">
      <c r="A348" s="238" t="s">
        <v>65</v>
      </c>
      <c r="B348" s="239" t="s">
        <v>118</v>
      </c>
      <c r="C348" s="240">
        <v>44454.0</v>
      </c>
      <c r="D348" s="241" t="s">
        <v>136</v>
      </c>
      <c r="E348" s="300">
        <v>100.0</v>
      </c>
      <c r="F348" s="227" t="s">
        <v>24</v>
      </c>
      <c r="G348" s="227" t="s">
        <v>26</v>
      </c>
      <c r="H348" s="272"/>
      <c r="I348" s="115"/>
      <c r="J348" s="244" t="s">
        <v>65</v>
      </c>
      <c r="K348" s="317">
        <f t="shared" si="20"/>
        <v>338</v>
      </c>
      <c r="L348" s="246" t="s">
        <v>122</v>
      </c>
      <c r="M348" s="247">
        <v>44459.0</v>
      </c>
      <c r="N348" s="248" t="s">
        <v>20</v>
      </c>
      <c r="O348" s="249">
        <v>42.98</v>
      </c>
      <c r="P348" s="250">
        <v>1.0</v>
      </c>
      <c r="Q348" s="236">
        <f t="shared" si="19"/>
        <v>42.98</v>
      </c>
      <c r="R348" s="237" t="s">
        <v>20</v>
      </c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</row>
    <row r="349">
      <c r="A349" s="238" t="s">
        <v>65</v>
      </c>
      <c r="B349" s="239" t="s">
        <v>102</v>
      </c>
      <c r="C349" s="240">
        <v>44453.0</v>
      </c>
      <c r="D349" s="241" t="s">
        <v>275</v>
      </c>
      <c r="E349" s="300">
        <v>4.0</v>
      </c>
      <c r="F349" s="227" t="s">
        <v>24</v>
      </c>
      <c r="G349" s="227" t="s">
        <v>26</v>
      </c>
      <c r="H349" s="253"/>
      <c r="I349" s="115"/>
      <c r="J349" s="244" t="s">
        <v>65</v>
      </c>
      <c r="K349" s="317">
        <f t="shared" si="20"/>
        <v>339</v>
      </c>
      <c r="L349" s="246" t="s">
        <v>122</v>
      </c>
      <c r="M349" s="247">
        <v>44461.0</v>
      </c>
      <c r="N349" s="248" t="s">
        <v>244</v>
      </c>
      <c r="O349" s="249">
        <v>81.98</v>
      </c>
      <c r="P349" s="250">
        <v>1.0</v>
      </c>
      <c r="Q349" s="236">
        <f t="shared" si="19"/>
        <v>81.98</v>
      </c>
      <c r="R349" s="237" t="s">
        <v>20</v>
      </c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</row>
    <row r="350">
      <c r="A350" s="238" t="s">
        <v>65</v>
      </c>
      <c r="B350" s="239" t="s">
        <v>118</v>
      </c>
      <c r="C350" s="240">
        <v>44454.0</v>
      </c>
      <c r="D350" s="241" t="s">
        <v>135</v>
      </c>
      <c r="E350" s="300">
        <v>75.9</v>
      </c>
      <c r="F350" s="227" t="s">
        <v>14</v>
      </c>
      <c r="G350" s="227" t="s">
        <v>16</v>
      </c>
      <c r="H350" s="242"/>
      <c r="I350" s="115"/>
      <c r="J350" s="244" t="s">
        <v>65</v>
      </c>
      <c r="K350" s="317">
        <f t="shared" si="20"/>
        <v>340</v>
      </c>
      <c r="L350" s="246" t="s">
        <v>122</v>
      </c>
      <c r="M350" s="247">
        <v>44461.0</v>
      </c>
      <c r="N350" s="248" t="s">
        <v>243</v>
      </c>
      <c r="O350" s="249">
        <v>95.54</v>
      </c>
      <c r="P350" s="250">
        <v>1.0</v>
      </c>
      <c r="Q350" s="236">
        <f t="shared" si="19"/>
        <v>95.54</v>
      </c>
      <c r="R350" s="237" t="s">
        <v>20</v>
      </c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</row>
    <row r="351">
      <c r="A351" s="238" t="s">
        <v>65</v>
      </c>
      <c r="B351" s="239" t="s">
        <v>118</v>
      </c>
      <c r="C351" s="240">
        <v>44455.0</v>
      </c>
      <c r="D351" s="241" t="s">
        <v>208</v>
      </c>
      <c r="E351" s="300">
        <v>50.0</v>
      </c>
      <c r="F351" s="227" t="s">
        <v>14</v>
      </c>
      <c r="G351" s="227" t="s">
        <v>19</v>
      </c>
      <c r="H351" s="253"/>
      <c r="I351" s="115"/>
      <c r="J351" s="244" t="s">
        <v>65</v>
      </c>
      <c r="K351" s="317">
        <f t="shared" si="20"/>
        <v>341</v>
      </c>
      <c r="L351" s="246" t="s">
        <v>120</v>
      </c>
      <c r="M351" s="247">
        <v>44461.0</v>
      </c>
      <c r="N351" s="248" t="s">
        <v>259</v>
      </c>
      <c r="O351" s="249">
        <v>43.9</v>
      </c>
      <c r="P351" s="250">
        <v>1.0</v>
      </c>
      <c r="Q351" s="236">
        <f t="shared" si="19"/>
        <v>43.9</v>
      </c>
      <c r="R351" s="237" t="s">
        <v>27</v>
      </c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</row>
    <row r="352">
      <c r="A352" s="238" t="s">
        <v>65</v>
      </c>
      <c r="B352" s="239" t="s">
        <v>118</v>
      </c>
      <c r="C352" s="240">
        <v>44460.0</v>
      </c>
      <c r="D352" s="241" t="s">
        <v>188</v>
      </c>
      <c r="E352" s="300">
        <v>130.81</v>
      </c>
      <c r="F352" s="227" t="s">
        <v>14</v>
      </c>
      <c r="G352" s="227" t="s">
        <v>16</v>
      </c>
      <c r="H352" s="242"/>
      <c r="I352" s="115"/>
      <c r="J352" s="244" t="s">
        <v>65</v>
      </c>
      <c r="K352" s="317">
        <f t="shared" si="20"/>
        <v>342</v>
      </c>
      <c r="L352" s="246" t="s">
        <v>102</v>
      </c>
      <c r="M352" s="247">
        <v>44465.0</v>
      </c>
      <c r="N352" s="248" t="s">
        <v>270</v>
      </c>
      <c r="O352" s="249">
        <v>8.91</v>
      </c>
      <c r="P352" s="250">
        <v>1.0</v>
      </c>
      <c r="Q352" s="236">
        <f t="shared" si="19"/>
        <v>8.91</v>
      </c>
      <c r="R352" s="237" t="s">
        <v>14</v>
      </c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</row>
    <row r="353">
      <c r="A353" s="238" t="s">
        <v>65</v>
      </c>
      <c r="B353" s="239" t="s">
        <v>98</v>
      </c>
      <c r="C353" s="240">
        <v>44460.0</v>
      </c>
      <c r="D353" s="241" t="s">
        <v>291</v>
      </c>
      <c r="E353" s="300">
        <v>40.0</v>
      </c>
      <c r="F353" s="227" t="s">
        <v>14</v>
      </c>
      <c r="G353" s="227" t="s">
        <v>16</v>
      </c>
      <c r="H353" s="253"/>
      <c r="I353" s="115"/>
      <c r="J353" s="244" t="s">
        <v>65</v>
      </c>
      <c r="K353" s="317">
        <f t="shared" si="20"/>
        <v>343</v>
      </c>
      <c r="L353" s="256"/>
      <c r="M353" s="257"/>
      <c r="N353" s="258"/>
      <c r="O353" s="252"/>
      <c r="P353" s="259"/>
      <c r="Q353" s="236" t="str">
        <f t="shared" si="19"/>
        <v/>
      </c>
      <c r="R353" s="237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</row>
    <row r="354">
      <c r="A354" s="238" t="s">
        <v>65</v>
      </c>
      <c r="B354" s="239" t="s">
        <v>98</v>
      </c>
      <c r="C354" s="240">
        <v>44462.0</v>
      </c>
      <c r="D354" s="241" t="s">
        <v>291</v>
      </c>
      <c r="E354" s="300">
        <v>220.0</v>
      </c>
      <c r="F354" s="227" t="s">
        <v>14</v>
      </c>
      <c r="G354" s="227" t="s">
        <v>16</v>
      </c>
      <c r="H354" s="242"/>
      <c r="I354" s="115"/>
      <c r="J354" s="244" t="s">
        <v>65</v>
      </c>
      <c r="K354" s="317">
        <f t="shared" si="20"/>
        <v>344</v>
      </c>
      <c r="L354" s="256"/>
      <c r="M354" s="257"/>
      <c r="N354" s="258"/>
      <c r="O354" s="252"/>
      <c r="P354" s="259"/>
      <c r="Q354" s="236" t="str">
        <f t="shared" si="19"/>
        <v/>
      </c>
      <c r="R354" s="237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</row>
    <row r="355">
      <c r="A355" s="238" t="s">
        <v>65</v>
      </c>
      <c r="B355" s="239" t="s">
        <v>98</v>
      </c>
      <c r="C355" s="240">
        <v>44462.0</v>
      </c>
      <c r="D355" s="241" t="s">
        <v>292</v>
      </c>
      <c r="E355" s="300">
        <v>10.0</v>
      </c>
      <c r="F355" s="227" t="s">
        <v>24</v>
      </c>
      <c r="G355" s="227" t="s">
        <v>26</v>
      </c>
      <c r="H355" s="253"/>
      <c r="I355" s="115"/>
      <c r="J355" s="244" t="s">
        <v>65</v>
      </c>
      <c r="K355" s="317">
        <f t="shared" si="20"/>
        <v>345</v>
      </c>
      <c r="L355" s="256"/>
      <c r="M355" s="257"/>
      <c r="N355" s="258"/>
      <c r="O355" s="252"/>
      <c r="P355" s="259"/>
      <c r="Q355" s="236" t="str">
        <f t="shared" si="19"/>
        <v/>
      </c>
      <c r="R355" s="237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</row>
    <row r="356">
      <c r="A356" s="238" t="s">
        <v>65</v>
      </c>
      <c r="B356" s="239" t="s">
        <v>98</v>
      </c>
      <c r="C356" s="240">
        <v>44462.0</v>
      </c>
      <c r="D356" s="241" t="s">
        <v>238</v>
      </c>
      <c r="E356" s="300">
        <v>129.0</v>
      </c>
      <c r="F356" s="227" t="s">
        <v>14</v>
      </c>
      <c r="G356" s="227" t="s">
        <v>16</v>
      </c>
      <c r="H356" s="242"/>
      <c r="I356" s="115"/>
      <c r="J356" s="244" t="s">
        <v>65</v>
      </c>
      <c r="K356" s="317">
        <f t="shared" si="20"/>
        <v>346</v>
      </c>
      <c r="L356" s="256"/>
      <c r="M356" s="257"/>
      <c r="N356" s="258"/>
      <c r="O356" s="252"/>
      <c r="P356" s="259"/>
      <c r="Q356" s="236" t="str">
        <f t="shared" si="19"/>
        <v/>
      </c>
      <c r="R356" s="237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</row>
    <row r="357">
      <c r="A357" s="238" t="s">
        <v>65</v>
      </c>
      <c r="B357" s="239" t="s">
        <v>98</v>
      </c>
      <c r="C357" s="240">
        <v>44462.0</v>
      </c>
      <c r="D357" s="241" t="s">
        <v>242</v>
      </c>
      <c r="E357" s="300">
        <v>4.0</v>
      </c>
      <c r="F357" s="227" t="s">
        <v>14</v>
      </c>
      <c r="G357" s="304" t="s">
        <v>16</v>
      </c>
      <c r="H357" s="253"/>
      <c r="I357" s="115"/>
      <c r="J357" s="244" t="s">
        <v>65</v>
      </c>
      <c r="K357" s="317">
        <f t="shared" si="20"/>
        <v>347</v>
      </c>
      <c r="L357" s="256"/>
      <c r="M357" s="257"/>
      <c r="N357" s="258"/>
      <c r="O357" s="252"/>
      <c r="P357" s="259"/>
      <c r="Q357" s="236" t="str">
        <f t="shared" si="19"/>
        <v/>
      </c>
      <c r="R357" s="237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</row>
    <row r="358">
      <c r="A358" s="238" t="s">
        <v>65</v>
      </c>
      <c r="B358" s="239" t="s">
        <v>120</v>
      </c>
      <c r="C358" s="240">
        <v>44463.0</v>
      </c>
      <c r="D358" s="241" t="s">
        <v>293</v>
      </c>
      <c r="E358" s="300">
        <v>32.0</v>
      </c>
      <c r="F358" s="227" t="s">
        <v>14</v>
      </c>
      <c r="G358" s="227" t="s">
        <v>16</v>
      </c>
      <c r="H358" s="242"/>
      <c r="I358" s="115"/>
      <c r="J358" s="244" t="s">
        <v>65</v>
      </c>
      <c r="K358" s="317">
        <f t="shared" si="20"/>
        <v>348</v>
      </c>
      <c r="L358" s="256"/>
      <c r="M358" s="257"/>
      <c r="N358" s="258"/>
      <c r="O358" s="252"/>
      <c r="P358" s="259"/>
      <c r="Q358" s="236" t="str">
        <f t="shared" si="19"/>
        <v/>
      </c>
      <c r="R358" s="237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</row>
    <row r="359">
      <c r="A359" s="238" t="s">
        <v>65</v>
      </c>
      <c r="B359" s="239" t="s">
        <v>91</v>
      </c>
      <c r="C359" s="240">
        <v>44463.0</v>
      </c>
      <c r="D359" s="241" t="s">
        <v>146</v>
      </c>
      <c r="E359" s="300">
        <v>279.99</v>
      </c>
      <c r="F359" s="227" t="s">
        <v>14</v>
      </c>
      <c r="G359" s="227" t="s">
        <v>16</v>
      </c>
      <c r="H359" s="253"/>
      <c r="I359" s="115"/>
      <c r="J359" s="244" t="s">
        <v>65</v>
      </c>
      <c r="K359" s="317">
        <f t="shared" si="20"/>
        <v>349</v>
      </c>
      <c r="L359" s="256"/>
      <c r="M359" s="257"/>
      <c r="N359" s="258"/>
      <c r="O359" s="252"/>
      <c r="P359" s="259"/>
      <c r="Q359" s="236" t="str">
        <f t="shared" si="19"/>
        <v/>
      </c>
      <c r="R359" s="237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</row>
    <row r="360">
      <c r="A360" s="238" t="s">
        <v>65</v>
      </c>
      <c r="B360" s="239" t="s">
        <v>98</v>
      </c>
      <c r="C360" s="240">
        <v>44465.0</v>
      </c>
      <c r="D360" s="241" t="s">
        <v>294</v>
      </c>
      <c r="E360" s="300">
        <v>58.3</v>
      </c>
      <c r="F360" s="227" t="s">
        <v>14</v>
      </c>
      <c r="G360" s="227" t="s">
        <v>16</v>
      </c>
      <c r="H360" s="242"/>
      <c r="I360" s="115"/>
      <c r="J360" s="244" t="s">
        <v>65</v>
      </c>
      <c r="K360" s="317">
        <f t="shared" si="20"/>
        <v>350</v>
      </c>
      <c r="L360" s="256"/>
      <c r="M360" s="257"/>
      <c r="N360" s="258"/>
      <c r="O360" s="252"/>
      <c r="P360" s="259"/>
      <c r="Q360" s="236" t="str">
        <f t="shared" si="19"/>
        <v/>
      </c>
      <c r="R360" s="237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</row>
    <row r="361">
      <c r="A361" s="238" t="s">
        <v>65</v>
      </c>
      <c r="B361" s="239" t="s">
        <v>118</v>
      </c>
      <c r="C361" s="240">
        <v>44468.0</v>
      </c>
      <c r="D361" s="241" t="s">
        <v>236</v>
      </c>
      <c r="E361" s="300">
        <v>100.0</v>
      </c>
      <c r="F361" s="227" t="s">
        <v>14</v>
      </c>
      <c r="G361" s="227" t="s">
        <v>16</v>
      </c>
      <c r="H361" s="253"/>
      <c r="I361" s="115"/>
      <c r="J361" s="244" t="s">
        <v>65</v>
      </c>
      <c r="K361" s="317">
        <f t="shared" si="20"/>
        <v>351</v>
      </c>
      <c r="L361" s="256"/>
      <c r="M361" s="257"/>
      <c r="N361" s="258"/>
      <c r="O361" s="252"/>
      <c r="P361" s="259"/>
      <c r="Q361" s="236" t="str">
        <f t="shared" si="19"/>
        <v/>
      </c>
      <c r="R361" s="237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</row>
    <row r="362">
      <c r="A362" s="238" t="s">
        <v>65</v>
      </c>
      <c r="B362" s="239"/>
      <c r="C362" s="240"/>
      <c r="D362" s="241"/>
      <c r="E362" s="300"/>
      <c r="F362" s="227"/>
      <c r="G362" s="304"/>
      <c r="H362" s="242"/>
      <c r="I362" s="115"/>
      <c r="J362" s="244" t="s">
        <v>65</v>
      </c>
      <c r="K362" s="317">
        <f t="shared" si="20"/>
        <v>352</v>
      </c>
      <c r="L362" s="256"/>
      <c r="M362" s="257"/>
      <c r="N362" s="258"/>
      <c r="O362" s="252"/>
      <c r="P362" s="259"/>
      <c r="Q362" s="236" t="str">
        <f t="shared" si="19"/>
        <v/>
      </c>
      <c r="R362" s="237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</row>
    <row r="363">
      <c r="A363" s="238" t="s">
        <v>65</v>
      </c>
      <c r="B363" s="239"/>
      <c r="C363" s="240"/>
      <c r="D363" s="241"/>
      <c r="E363" s="300"/>
      <c r="F363" s="227"/>
      <c r="G363" s="227"/>
      <c r="H363" s="253"/>
      <c r="I363" s="115"/>
      <c r="J363" s="244" t="s">
        <v>65</v>
      </c>
      <c r="K363" s="321">
        <f t="shared" si="20"/>
        <v>353</v>
      </c>
      <c r="L363" s="266"/>
      <c r="M363" s="267"/>
      <c r="N363" s="268"/>
      <c r="O363" s="269"/>
      <c r="P363" s="270"/>
      <c r="Q363" s="236" t="str">
        <f t="shared" si="19"/>
        <v/>
      </c>
      <c r="R363" s="237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</row>
    <row r="364">
      <c r="A364" s="238" t="s">
        <v>65</v>
      </c>
      <c r="B364" s="239"/>
      <c r="C364" s="240"/>
      <c r="D364" s="241"/>
      <c r="E364" s="300"/>
      <c r="F364" s="227"/>
      <c r="G364" s="227"/>
      <c r="H364" s="242"/>
      <c r="I364" s="115"/>
      <c r="J364" s="244" t="s">
        <v>65</v>
      </c>
      <c r="K364" s="321">
        <f t="shared" si="20"/>
        <v>354</v>
      </c>
      <c r="L364" s="266"/>
      <c r="M364" s="267"/>
      <c r="N364" s="268"/>
      <c r="O364" s="269"/>
      <c r="P364" s="270"/>
      <c r="Q364" s="236" t="str">
        <f t="shared" si="19"/>
        <v/>
      </c>
      <c r="R364" s="237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</row>
    <row r="365">
      <c r="A365" s="238" t="s">
        <v>65</v>
      </c>
      <c r="B365" s="239"/>
      <c r="C365" s="240"/>
      <c r="D365" s="241"/>
      <c r="E365" s="300"/>
      <c r="F365" s="227"/>
      <c r="G365" s="227"/>
      <c r="H365" s="253"/>
      <c r="I365" s="115"/>
      <c r="J365" s="244" t="s">
        <v>65</v>
      </c>
      <c r="K365" s="321">
        <f t="shared" si="20"/>
        <v>355</v>
      </c>
      <c r="L365" s="266"/>
      <c r="M365" s="267"/>
      <c r="N365" s="268"/>
      <c r="O365" s="269"/>
      <c r="P365" s="270"/>
      <c r="Q365" s="236" t="str">
        <f t="shared" si="19"/>
        <v/>
      </c>
      <c r="R365" s="237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</row>
    <row r="366">
      <c r="A366" s="238" t="s">
        <v>65</v>
      </c>
      <c r="B366" s="239"/>
      <c r="C366" s="240"/>
      <c r="D366" s="241"/>
      <c r="E366" s="300"/>
      <c r="F366" s="227"/>
      <c r="G366" s="227"/>
      <c r="H366" s="242"/>
      <c r="I366" s="115"/>
      <c r="J366" s="244" t="s">
        <v>65</v>
      </c>
      <c r="K366" s="321">
        <f t="shared" si="20"/>
        <v>356</v>
      </c>
      <c r="L366" s="266"/>
      <c r="M366" s="267"/>
      <c r="N366" s="268"/>
      <c r="O366" s="269"/>
      <c r="P366" s="270"/>
      <c r="Q366" s="236" t="str">
        <f t="shared" si="19"/>
        <v/>
      </c>
      <c r="R366" s="237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</row>
    <row r="367">
      <c r="A367" s="238" t="s">
        <v>65</v>
      </c>
      <c r="B367" s="239"/>
      <c r="C367" s="240"/>
      <c r="D367" s="241"/>
      <c r="E367" s="300"/>
      <c r="F367" s="227"/>
      <c r="G367" s="227"/>
      <c r="H367" s="253"/>
      <c r="I367" s="115"/>
      <c r="J367" s="244" t="s">
        <v>65</v>
      </c>
      <c r="K367" s="321">
        <f t="shared" si="20"/>
        <v>357</v>
      </c>
      <c r="L367" s="266"/>
      <c r="M367" s="267"/>
      <c r="N367" s="268"/>
      <c r="O367" s="269"/>
      <c r="P367" s="270"/>
      <c r="Q367" s="236" t="str">
        <f t="shared" si="19"/>
        <v/>
      </c>
      <c r="R367" s="237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</row>
    <row r="368">
      <c r="A368" s="238" t="s">
        <v>65</v>
      </c>
      <c r="B368" s="239"/>
      <c r="C368" s="240"/>
      <c r="D368" s="241"/>
      <c r="E368" s="300"/>
      <c r="F368" s="227"/>
      <c r="G368" s="227"/>
      <c r="H368" s="242"/>
      <c r="I368" s="115"/>
      <c r="J368" s="244" t="s">
        <v>65</v>
      </c>
      <c r="K368" s="321">
        <f t="shared" si="20"/>
        <v>358</v>
      </c>
      <c r="L368" s="266"/>
      <c r="M368" s="267"/>
      <c r="N368" s="268"/>
      <c r="O368" s="269"/>
      <c r="P368" s="270"/>
      <c r="Q368" s="236" t="str">
        <f t="shared" si="19"/>
        <v/>
      </c>
      <c r="R368" s="237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</row>
    <row r="369">
      <c r="A369" s="238" t="s">
        <v>65</v>
      </c>
      <c r="B369" s="239"/>
      <c r="C369" s="240"/>
      <c r="D369" s="241"/>
      <c r="E369" s="300"/>
      <c r="F369" s="227"/>
      <c r="G369" s="227"/>
      <c r="H369" s="253"/>
      <c r="I369" s="115"/>
      <c r="J369" s="244" t="s">
        <v>65</v>
      </c>
      <c r="K369" s="321">
        <f t="shared" si="20"/>
        <v>359</v>
      </c>
      <c r="L369" s="266"/>
      <c r="M369" s="267"/>
      <c r="N369" s="268"/>
      <c r="O369" s="269"/>
      <c r="P369" s="270"/>
      <c r="Q369" s="236" t="str">
        <f t="shared" si="19"/>
        <v/>
      </c>
      <c r="R369" s="273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</row>
    <row r="370">
      <c r="A370" s="238" t="s">
        <v>65</v>
      </c>
      <c r="B370" s="239"/>
      <c r="C370" s="240"/>
      <c r="D370" s="241"/>
      <c r="E370" s="300"/>
      <c r="F370" s="227"/>
      <c r="G370" s="227"/>
      <c r="H370" s="242"/>
      <c r="I370" s="115"/>
      <c r="J370" s="244" t="s">
        <v>65</v>
      </c>
      <c r="K370" s="321">
        <f t="shared" si="20"/>
        <v>360</v>
      </c>
      <c r="L370" s="266"/>
      <c r="M370" s="267"/>
      <c r="N370" s="227"/>
      <c r="O370" s="234"/>
      <c r="P370" s="235"/>
      <c r="Q370" s="236" t="str">
        <f t="shared" si="19"/>
        <v/>
      </c>
      <c r="R370" s="273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</row>
    <row r="371">
      <c r="A371" s="238" t="s">
        <v>65</v>
      </c>
      <c r="B371" s="239"/>
      <c r="C371" s="240"/>
      <c r="D371" s="241"/>
      <c r="E371" s="300"/>
      <c r="F371" s="227"/>
      <c r="G371" s="227"/>
      <c r="H371" s="253"/>
      <c r="I371" s="115"/>
      <c r="J371" s="244" t="s">
        <v>65</v>
      </c>
      <c r="K371" s="321">
        <f t="shared" si="20"/>
        <v>361</v>
      </c>
      <c r="L371" s="266"/>
      <c r="M371" s="267"/>
      <c r="N371" s="227"/>
      <c r="O371" s="234"/>
      <c r="P371" s="235"/>
      <c r="Q371" s="236" t="str">
        <f t="shared" si="19"/>
        <v/>
      </c>
      <c r="R371" s="273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</row>
    <row r="372">
      <c r="A372" s="238" t="s">
        <v>65</v>
      </c>
      <c r="B372" s="239"/>
      <c r="C372" s="240"/>
      <c r="D372" s="241"/>
      <c r="E372" s="300"/>
      <c r="F372" s="227"/>
      <c r="G372" s="227"/>
      <c r="H372" s="242"/>
      <c r="I372" s="115"/>
      <c r="J372" s="244" t="s">
        <v>65</v>
      </c>
      <c r="K372" s="321">
        <f t="shared" si="20"/>
        <v>362</v>
      </c>
      <c r="L372" s="266"/>
      <c r="M372" s="267"/>
      <c r="N372" s="274"/>
      <c r="O372" s="234"/>
      <c r="P372" s="235"/>
      <c r="Q372" s="236" t="str">
        <f t="shared" si="19"/>
        <v/>
      </c>
      <c r="R372" s="273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</row>
    <row r="373">
      <c r="A373" s="238" t="s">
        <v>65</v>
      </c>
      <c r="B373" s="239"/>
      <c r="C373" s="240"/>
      <c r="D373" s="241"/>
      <c r="E373" s="300"/>
      <c r="F373" s="227"/>
      <c r="G373" s="227"/>
      <c r="H373" s="253"/>
      <c r="I373" s="115"/>
      <c r="J373" s="244" t="s">
        <v>65</v>
      </c>
      <c r="K373" s="321">
        <f t="shared" si="20"/>
        <v>363</v>
      </c>
      <c r="L373" s="266"/>
      <c r="M373" s="267"/>
      <c r="N373" s="274"/>
      <c r="O373" s="234"/>
      <c r="P373" s="235"/>
      <c r="Q373" s="236" t="str">
        <f t="shared" si="19"/>
        <v/>
      </c>
      <c r="R373" s="273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</row>
    <row r="374">
      <c r="A374" s="238" t="s">
        <v>65</v>
      </c>
      <c r="B374" s="239"/>
      <c r="C374" s="240"/>
      <c r="D374" s="241"/>
      <c r="E374" s="300"/>
      <c r="F374" s="227"/>
      <c r="G374" s="227"/>
      <c r="H374" s="242"/>
      <c r="I374" s="115"/>
      <c r="J374" s="244" t="s">
        <v>65</v>
      </c>
      <c r="K374" s="321">
        <f t="shared" si="20"/>
        <v>364</v>
      </c>
      <c r="L374" s="266"/>
      <c r="M374" s="267"/>
      <c r="N374" s="274"/>
      <c r="O374" s="234"/>
      <c r="P374" s="235"/>
      <c r="Q374" s="236" t="str">
        <f t="shared" si="19"/>
        <v/>
      </c>
      <c r="R374" s="273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</row>
    <row r="375">
      <c r="A375" s="238" t="s">
        <v>65</v>
      </c>
      <c r="B375" s="239"/>
      <c r="C375" s="240"/>
      <c r="D375" s="241"/>
      <c r="E375" s="300"/>
      <c r="F375" s="227"/>
      <c r="G375" s="227"/>
      <c r="H375" s="253"/>
      <c r="I375" s="115"/>
      <c r="J375" s="244" t="s">
        <v>65</v>
      </c>
      <c r="K375" s="321">
        <f t="shared" si="20"/>
        <v>365</v>
      </c>
      <c r="L375" s="266"/>
      <c r="M375" s="267"/>
      <c r="N375" s="275"/>
      <c r="O375" s="269"/>
      <c r="P375" s="270"/>
      <c r="Q375" s="236" t="str">
        <f t="shared" si="19"/>
        <v/>
      </c>
      <c r="R375" s="273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</row>
    <row r="376">
      <c r="A376" s="238" t="s">
        <v>65</v>
      </c>
      <c r="B376" s="239"/>
      <c r="C376" s="240"/>
      <c r="D376" s="241"/>
      <c r="E376" s="300"/>
      <c r="F376" s="227"/>
      <c r="G376" s="227"/>
      <c r="H376" s="242"/>
      <c r="I376" s="115"/>
      <c r="J376" s="244" t="s">
        <v>65</v>
      </c>
      <c r="K376" s="321">
        <f t="shared" si="20"/>
        <v>366</v>
      </c>
      <c r="L376" s="266"/>
      <c r="M376" s="267"/>
      <c r="N376" s="275"/>
      <c r="O376" s="269"/>
      <c r="P376" s="270"/>
      <c r="Q376" s="236" t="str">
        <f t="shared" si="19"/>
        <v/>
      </c>
      <c r="R376" s="273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</row>
    <row r="377">
      <c r="A377" s="238" t="s">
        <v>65</v>
      </c>
      <c r="B377" s="239"/>
      <c r="C377" s="240"/>
      <c r="D377" s="241"/>
      <c r="E377" s="300"/>
      <c r="F377" s="227"/>
      <c r="G377" s="227"/>
      <c r="H377" s="253"/>
      <c r="I377" s="115"/>
      <c r="J377" s="244" t="s">
        <v>65</v>
      </c>
      <c r="K377" s="321">
        <f t="shared" si="20"/>
        <v>367</v>
      </c>
      <c r="L377" s="266"/>
      <c r="M377" s="267"/>
      <c r="N377" s="275"/>
      <c r="O377" s="269"/>
      <c r="P377" s="270"/>
      <c r="Q377" s="236" t="str">
        <f t="shared" si="19"/>
        <v/>
      </c>
      <c r="R377" s="273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</row>
    <row r="378">
      <c r="A378" s="238" t="s">
        <v>65</v>
      </c>
      <c r="B378" s="239"/>
      <c r="C378" s="240"/>
      <c r="D378" s="241"/>
      <c r="E378" s="300"/>
      <c r="F378" s="227"/>
      <c r="G378" s="227"/>
      <c r="H378" s="242"/>
      <c r="I378" s="115"/>
      <c r="J378" s="244" t="s">
        <v>65</v>
      </c>
      <c r="K378" s="321">
        <f t="shared" si="20"/>
        <v>368</v>
      </c>
      <c r="L378" s="266"/>
      <c r="M378" s="267"/>
      <c r="N378" s="274"/>
      <c r="O378" s="269"/>
      <c r="P378" s="235"/>
      <c r="Q378" s="236" t="str">
        <f t="shared" si="19"/>
        <v/>
      </c>
      <c r="R378" s="273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</row>
    <row r="379">
      <c r="A379" s="276" t="s">
        <v>65</v>
      </c>
      <c r="B379" s="306"/>
      <c r="C379" s="307"/>
      <c r="D379" s="308"/>
      <c r="E379" s="309"/>
      <c r="F379" s="277"/>
      <c r="G379" s="277"/>
      <c r="H379" s="278"/>
      <c r="I379" s="115"/>
      <c r="J379" s="279" t="s">
        <v>65</v>
      </c>
      <c r="K379" s="322">
        <f t="shared" si="20"/>
        <v>369</v>
      </c>
      <c r="L379" s="311"/>
      <c r="M379" s="280"/>
      <c r="N379" s="281"/>
      <c r="O379" s="282"/>
      <c r="P379" s="283"/>
      <c r="Q379" s="236" t="str">
        <f t="shared" si="19"/>
        <v/>
      </c>
      <c r="R379" s="28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</row>
    <row r="380">
      <c r="A380" s="115"/>
      <c r="B380" s="265"/>
      <c r="C380" s="115"/>
      <c r="D380" s="115"/>
      <c r="E380" s="115"/>
      <c r="F380" s="115"/>
      <c r="G380" s="115"/>
      <c r="H380" s="115"/>
      <c r="I380" s="115"/>
      <c r="J380" s="115"/>
      <c r="K380" s="316"/>
      <c r="L380" s="265"/>
      <c r="M380" s="115"/>
      <c r="N380" s="115"/>
      <c r="O380" s="290"/>
      <c r="P380" s="316"/>
      <c r="Q380" s="323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</row>
    <row r="381">
      <c r="A381" s="221" t="s">
        <v>66</v>
      </c>
      <c r="B381" s="222" t="s">
        <v>85</v>
      </c>
      <c r="C381" s="223">
        <v>44471.0</v>
      </c>
      <c r="D381" s="224" t="s">
        <v>182</v>
      </c>
      <c r="E381" s="326">
        <v>21.81</v>
      </c>
      <c r="F381" s="226" t="s">
        <v>14</v>
      </c>
      <c r="G381" s="226" t="s">
        <v>16</v>
      </c>
      <c r="H381" s="228"/>
      <c r="I381" s="115"/>
      <c r="J381" s="230" t="s">
        <v>66</v>
      </c>
      <c r="K381" s="293">
        <f>K379+1</f>
        <v>370</v>
      </c>
      <c r="L381" s="226" t="s">
        <v>122</v>
      </c>
      <c r="M381" s="294">
        <v>44471.0</v>
      </c>
      <c r="N381" s="295" t="s">
        <v>20</v>
      </c>
      <c r="O381" s="296">
        <v>34.4</v>
      </c>
      <c r="P381" s="297">
        <v>1.0</v>
      </c>
      <c r="Q381" s="236">
        <f t="shared" ref="Q381:Q421" si="21">IFERROR($O381/$P381,"")</f>
        <v>34.4</v>
      </c>
      <c r="R381" s="299" t="s">
        <v>20</v>
      </c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</row>
    <row r="382">
      <c r="A382" s="238" t="s">
        <v>66</v>
      </c>
      <c r="B382" s="239" t="s">
        <v>118</v>
      </c>
      <c r="C382" s="240">
        <v>44475.0</v>
      </c>
      <c r="D382" s="241" t="s">
        <v>257</v>
      </c>
      <c r="E382" s="327">
        <v>50.0</v>
      </c>
      <c r="F382" s="227" t="s">
        <v>14</v>
      </c>
      <c r="G382" s="227" t="s">
        <v>16</v>
      </c>
      <c r="H382" s="242"/>
      <c r="I382" s="115"/>
      <c r="J382" s="244" t="s">
        <v>66</v>
      </c>
      <c r="K382" s="245">
        <f t="shared" ref="K382:K421" si="22">K381+1</f>
        <v>371</v>
      </c>
      <c r="L382" s="246" t="s">
        <v>85</v>
      </c>
      <c r="M382" s="247">
        <v>44471.0</v>
      </c>
      <c r="N382" s="248" t="s">
        <v>20</v>
      </c>
      <c r="O382" s="249">
        <v>2.69</v>
      </c>
      <c r="P382" s="250">
        <v>1.0</v>
      </c>
      <c r="Q382" s="236">
        <f t="shared" si="21"/>
        <v>2.69</v>
      </c>
      <c r="R382" s="237" t="s">
        <v>20</v>
      </c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</row>
    <row r="383">
      <c r="A383" s="238" t="s">
        <v>66</v>
      </c>
      <c r="B383" s="239" t="s">
        <v>114</v>
      </c>
      <c r="C383" s="240">
        <v>44476.0</v>
      </c>
      <c r="D383" s="241" t="s">
        <v>295</v>
      </c>
      <c r="E383" s="327">
        <v>10.0</v>
      </c>
      <c r="F383" s="227" t="s">
        <v>14</v>
      </c>
      <c r="G383" s="227" t="s">
        <v>16</v>
      </c>
      <c r="H383" s="253"/>
      <c r="I383" s="115"/>
      <c r="J383" s="244" t="s">
        <v>66</v>
      </c>
      <c r="K383" s="245">
        <f t="shared" si="22"/>
        <v>372</v>
      </c>
      <c r="L383" s="246" t="s">
        <v>102</v>
      </c>
      <c r="M383" s="247">
        <v>44472.0</v>
      </c>
      <c r="N383" s="248" t="s">
        <v>270</v>
      </c>
      <c r="O383" s="249">
        <v>19.96</v>
      </c>
      <c r="P383" s="250">
        <v>1.0</v>
      </c>
      <c r="Q383" s="236">
        <f t="shared" si="21"/>
        <v>19.96</v>
      </c>
      <c r="R383" s="237" t="s">
        <v>14</v>
      </c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</row>
    <row r="384">
      <c r="A384" s="238" t="s">
        <v>66</v>
      </c>
      <c r="B384" s="239" t="s">
        <v>118</v>
      </c>
      <c r="C384" s="240">
        <v>44476.0</v>
      </c>
      <c r="D384" s="241" t="s">
        <v>296</v>
      </c>
      <c r="E384" s="300">
        <v>2.0</v>
      </c>
      <c r="F384" s="227" t="s">
        <v>24</v>
      </c>
      <c r="G384" s="227" t="s">
        <v>26</v>
      </c>
      <c r="H384" s="242"/>
      <c r="I384" s="115"/>
      <c r="J384" s="244" t="s">
        <v>66</v>
      </c>
      <c r="K384" s="245">
        <f t="shared" si="22"/>
        <v>373</v>
      </c>
      <c r="L384" s="246" t="s">
        <v>122</v>
      </c>
      <c r="M384" s="247">
        <v>44474.0</v>
      </c>
      <c r="N384" s="248" t="s">
        <v>244</v>
      </c>
      <c r="O384" s="249">
        <v>196.56</v>
      </c>
      <c r="P384" s="250">
        <v>1.0</v>
      </c>
      <c r="Q384" s="236">
        <f t="shared" si="21"/>
        <v>196.56</v>
      </c>
      <c r="R384" s="237" t="s">
        <v>20</v>
      </c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</row>
    <row r="385">
      <c r="A385" s="238" t="s">
        <v>66</v>
      </c>
      <c r="B385" s="239" t="s">
        <v>116</v>
      </c>
      <c r="C385" s="240">
        <v>44478.0</v>
      </c>
      <c r="D385" s="241" t="s">
        <v>14</v>
      </c>
      <c r="E385" s="300">
        <v>352.08</v>
      </c>
      <c r="F385" s="227" t="s">
        <v>14</v>
      </c>
      <c r="G385" s="227" t="s">
        <v>16</v>
      </c>
      <c r="H385" s="251" t="s">
        <v>17</v>
      </c>
      <c r="I385" s="115"/>
      <c r="J385" s="244" t="s">
        <v>66</v>
      </c>
      <c r="K385" s="317">
        <f t="shared" si="22"/>
        <v>374</v>
      </c>
      <c r="L385" s="246" t="s">
        <v>102</v>
      </c>
      <c r="M385" s="247">
        <v>44476.0</v>
      </c>
      <c r="N385" s="248" t="s">
        <v>282</v>
      </c>
      <c r="O385" s="249">
        <v>100.0</v>
      </c>
      <c r="P385" s="250">
        <v>1.0</v>
      </c>
      <c r="Q385" s="236">
        <f t="shared" si="21"/>
        <v>100</v>
      </c>
      <c r="R385" s="237" t="s">
        <v>27</v>
      </c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</row>
    <row r="386">
      <c r="A386" s="238" t="s">
        <v>66</v>
      </c>
      <c r="B386" s="239" t="s">
        <v>85</v>
      </c>
      <c r="C386" s="240">
        <v>44479.0</v>
      </c>
      <c r="D386" s="241" t="s">
        <v>297</v>
      </c>
      <c r="E386" s="300">
        <v>8.0</v>
      </c>
      <c r="F386" s="227" t="s">
        <v>14</v>
      </c>
      <c r="G386" s="227" t="s">
        <v>16</v>
      </c>
      <c r="H386" s="242"/>
      <c r="I386" s="115"/>
      <c r="J386" s="244" t="s">
        <v>66</v>
      </c>
      <c r="K386" s="317">
        <f t="shared" si="22"/>
        <v>375</v>
      </c>
      <c r="L386" s="246" t="s">
        <v>114</v>
      </c>
      <c r="M386" s="247">
        <v>44476.0</v>
      </c>
      <c r="N386" s="248" t="s">
        <v>298</v>
      </c>
      <c r="O386" s="249">
        <v>52.0</v>
      </c>
      <c r="P386" s="250">
        <v>1.0</v>
      </c>
      <c r="Q386" s="236">
        <f t="shared" si="21"/>
        <v>52</v>
      </c>
      <c r="R386" s="237" t="s">
        <v>27</v>
      </c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</row>
    <row r="387">
      <c r="A387" s="238" t="s">
        <v>66</v>
      </c>
      <c r="B387" s="239" t="s">
        <v>118</v>
      </c>
      <c r="C387" s="240">
        <v>44480.0</v>
      </c>
      <c r="D387" s="241" t="s">
        <v>135</v>
      </c>
      <c r="E387" s="300">
        <v>85.06</v>
      </c>
      <c r="F387" s="227" t="s">
        <v>14</v>
      </c>
      <c r="G387" s="227" t="s">
        <v>16</v>
      </c>
      <c r="H387" s="253"/>
      <c r="I387" s="115"/>
      <c r="J387" s="244" t="s">
        <v>66</v>
      </c>
      <c r="K387" s="317">
        <f t="shared" si="22"/>
        <v>376</v>
      </c>
      <c r="L387" s="246" t="s">
        <v>98</v>
      </c>
      <c r="M387" s="247">
        <v>44477.0</v>
      </c>
      <c r="N387" s="248" t="s">
        <v>299</v>
      </c>
      <c r="O387" s="249">
        <v>231.58</v>
      </c>
      <c r="P387" s="250">
        <v>2.0</v>
      </c>
      <c r="Q387" s="236">
        <f t="shared" si="21"/>
        <v>115.79</v>
      </c>
      <c r="R387" s="237" t="s">
        <v>14</v>
      </c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</row>
    <row r="388">
      <c r="A388" s="238" t="s">
        <v>66</v>
      </c>
      <c r="B388" s="239" t="s">
        <v>118</v>
      </c>
      <c r="C388" s="240">
        <v>44482.0</v>
      </c>
      <c r="D388" s="241" t="s">
        <v>136</v>
      </c>
      <c r="E388" s="300">
        <v>100.0</v>
      </c>
      <c r="F388" s="227" t="s">
        <v>14</v>
      </c>
      <c r="G388" s="227" t="s">
        <v>16</v>
      </c>
      <c r="H388" s="242"/>
      <c r="I388" s="115"/>
      <c r="J388" s="244" t="s">
        <v>66</v>
      </c>
      <c r="K388" s="317">
        <f t="shared" si="22"/>
        <v>377</v>
      </c>
      <c r="L388" s="246" t="s">
        <v>122</v>
      </c>
      <c r="M388" s="247">
        <v>44478.0</v>
      </c>
      <c r="N388" s="248" t="s">
        <v>20</v>
      </c>
      <c r="O388" s="249">
        <v>37.52</v>
      </c>
      <c r="P388" s="250">
        <v>1.0</v>
      </c>
      <c r="Q388" s="236">
        <f t="shared" si="21"/>
        <v>37.52</v>
      </c>
      <c r="R388" s="237" t="s">
        <v>20</v>
      </c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</row>
    <row r="389">
      <c r="A389" s="238" t="s">
        <v>66</v>
      </c>
      <c r="B389" s="239" t="s">
        <v>85</v>
      </c>
      <c r="C389" s="240">
        <v>44487.0</v>
      </c>
      <c r="D389" s="241" t="s">
        <v>300</v>
      </c>
      <c r="E389" s="300">
        <v>44.0</v>
      </c>
      <c r="F389" s="227" t="s">
        <v>14</v>
      </c>
      <c r="G389" s="227" t="s">
        <v>16</v>
      </c>
      <c r="H389" s="251"/>
      <c r="I389" s="115"/>
      <c r="J389" s="244" t="s">
        <v>66</v>
      </c>
      <c r="K389" s="317">
        <f t="shared" si="22"/>
        <v>378</v>
      </c>
      <c r="L389" s="246" t="s">
        <v>102</v>
      </c>
      <c r="M389" s="247">
        <v>44481.0</v>
      </c>
      <c r="N389" s="248" t="s">
        <v>270</v>
      </c>
      <c r="O389" s="249">
        <v>14.98</v>
      </c>
      <c r="P389" s="250">
        <v>1.0</v>
      </c>
      <c r="Q389" s="236">
        <f t="shared" si="21"/>
        <v>14.98</v>
      </c>
      <c r="R389" s="237" t="s">
        <v>14</v>
      </c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</row>
    <row r="390">
      <c r="A390" s="238" t="s">
        <v>66</v>
      </c>
      <c r="B390" s="239" t="s">
        <v>118</v>
      </c>
      <c r="C390" s="240">
        <v>44488.0</v>
      </c>
      <c r="D390" s="241" t="s">
        <v>301</v>
      </c>
      <c r="E390" s="300">
        <v>9.9</v>
      </c>
      <c r="F390" s="227" t="s">
        <v>14</v>
      </c>
      <c r="G390" s="227" t="s">
        <v>16</v>
      </c>
      <c r="H390" s="272"/>
      <c r="I390" s="115"/>
      <c r="J390" s="244" t="s">
        <v>66</v>
      </c>
      <c r="K390" s="317">
        <f t="shared" si="22"/>
        <v>379</v>
      </c>
      <c r="L390" s="246" t="s">
        <v>102</v>
      </c>
      <c r="M390" s="247">
        <v>44482.0</v>
      </c>
      <c r="N390" s="248" t="s">
        <v>270</v>
      </c>
      <c r="O390" s="249">
        <v>16.9</v>
      </c>
      <c r="P390" s="250">
        <v>1.0</v>
      </c>
      <c r="Q390" s="236">
        <f t="shared" si="21"/>
        <v>16.9</v>
      </c>
      <c r="R390" s="237" t="s">
        <v>14</v>
      </c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</row>
    <row r="391">
      <c r="A391" s="238" t="s">
        <v>66</v>
      </c>
      <c r="B391" s="239" t="s">
        <v>85</v>
      </c>
      <c r="C391" s="240">
        <v>44491.0</v>
      </c>
      <c r="D391" s="241" t="s">
        <v>302</v>
      </c>
      <c r="E391" s="300">
        <v>35.8</v>
      </c>
      <c r="F391" s="227" t="s">
        <v>14</v>
      </c>
      <c r="G391" s="227" t="s">
        <v>16</v>
      </c>
      <c r="H391" s="253"/>
      <c r="I391" s="115"/>
      <c r="J391" s="244" t="s">
        <v>66</v>
      </c>
      <c r="K391" s="317">
        <f t="shared" si="22"/>
        <v>380</v>
      </c>
      <c r="L391" s="246" t="s">
        <v>95</v>
      </c>
      <c r="M391" s="247">
        <v>44484.0</v>
      </c>
      <c r="N391" s="248" t="s">
        <v>270</v>
      </c>
      <c r="O391" s="249">
        <v>8.9</v>
      </c>
      <c r="P391" s="250">
        <v>1.0</v>
      </c>
      <c r="Q391" s="236">
        <f t="shared" si="21"/>
        <v>8.9</v>
      </c>
      <c r="R391" s="237" t="s">
        <v>14</v>
      </c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1" t="s">
        <v>303</v>
      </c>
    </row>
    <row r="392">
      <c r="A392" s="238" t="s">
        <v>66</v>
      </c>
      <c r="B392" s="239" t="s">
        <v>85</v>
      </c>
      <c r="C392" s="240">
        <v>44492.0</v>
      </c>
      <c r="D392" s="241" t="s">
        <v>304</v>
      </c>
      <c r="E392" s="300">
        <v>7.0</v>
      </c>
      <c r="F392" s="227" t="s">
        <v>14</v>
      </c>
      <c r="G392" s="227" t="s">
        <v>16</v>
      </c>
      <c r="H392" s="242"/>
      <c r="I392" s="115"/>
      <c r="J392" s="244" t="s">
        <v>66</v>
      </c>
      <c r="K392" s="317">
        <f t="shared" si="22"/>
        <v>381</v>
      </c>
      <c r="L392" s="246" t="s">
        <v>102</v>
      </c>
      <c r="M392" s="247">
        <v>44484.0</v>
      </c>
      <c r="N392" s="328" t="s">
        <v>270</v>
      </c>
      <c r="O392" s="249">
        <v>11.11</v>
      </c>
      <c r="P392" s="250">
        <v>1.0</v>
      </c>
      <c r="Q392" s="236">
        <f t="shared" si="21"/>
        <v>11.11</v>
      </c>
      <c r="R392" s="237" t="s">
        <v>14</v>
      </c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</row>
    <row r="393">
      <c r="A393" s="238" t="s">
        <v>66</v>
      </c>
      <c r="B393" s="239" t="s">
        <v>118</v>
      </c>
      <c r="C393" s="240">
        <v>44494.0</v>
      </c>
      <c r="D393" s="241" t="s">
        <v>188</v>
      </c>
      <c r="E393" s="300">
        <v>132.4</v>
      </c>
      <c r="F393" s="227" t="s">
        <v>14</v>
      </c>
      <c r="G393" s="227" t="s">
        <v>16</v>
      </c>
      <c r="H393" s="253"/>
      <c r="I393" s="115"/>
      <c r="J393" s="244" t="s">
        <v>66</v>
      </c>
      <c r="K393" s="317">
        <f t="shared" si="22"/>
        <v>382</v>
      </c>
      <c r="L393" s="246" t="s">
        <v>122</v>
      </c>
      <c r="M393" s="247">
        <v>44484.0</v>
      </c>
      <c r="N393" s="248" t="s">
        <v>305</v>
      </c>
      <c r="O393" s="249">
        <v>48.71</v>
      </c>
      <c r="P393" s="250">
        <v>1.0</v>
      </c>
      <c r="Q393" s="236">
        <f t="shared" si="21"/>
        <v>48.71</v>
      </c>
      <c r="R393" s="237" t="s">
        <v>27</v>
      </c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</row>
    <row r="394">
      <c r="A394" s="238" t="s">
        <v>66</v>
      </c>
      <c r="B394" s="239" t="s">
        <v>85</v>
      </c>
      <c r="C394" s="240">
        <v>44494.0</v>
      </c>
      <c r="D394" s="241" t="s">
        <v>249</v>
      </c>
      <c r="E394" s="300">
        <v>57.0</v>
      </c>
      <c r="F394" s="227" t="s">
        <v>14</v>
      </c>
      <c r="G394" s="227" t="s">
        <v>16</v>
      </c>
      <c r="H394" s="242"/>
      <c r="I394" s="115"/>
      <c r="J394" s="244" t="s">
        <v>66</v>
      </c>
      <c r="K394" s="317">
        <f t="shared" si="22"/>
        <v>383</v>
      </c>
      <c r="L394" s="246" t="s">
        <v>122</v>
      </c>
      <c r="M394" s="247">
        <v>44487.0</v>
      </c>
      <c r="N394" s="248" t="s">
        <v>244</v>
      </c>
      <c r="O394" s="249">
        <v>114.48</v>
      </c>
      <c r="P394" s="250">
        <v>1.0</v>
      </c>
      <c r="Q394" s="236">
        <f t="shared" si="21"/>
        <v>114.48</v>
      </c>
      <c r="R394" s="237" t="s">
        <v>20</v>
      </c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</row>
    <row r="395">
      <c r="A395" s="238" t="s">
        <v>66</v>
      </c>
      <c r="B395" s="239" t="s">
        <v>91</v>
      </c>
      <c r="C395" s="240">
        <v>44496.0</v>
      </c>
      <c r="D395" s="241" t="s">
        <v>146</v>
      </c>
      <c r="E395" s="300">
        <v>281.76</v>
      </c>
      <c r="F395" s="227" t="s">
        <v>14</v>
      </c>
      <c r="G395" s="227" t="s">
        <v>16</v>
      </c>
      <c r="H395" s="253"/>
      <c r="I395" s="115"/>
      <c r="J395" s="244" t="s">
        <v>66</v>
      </c>
      <c r="K395" s="317">
        <f t="shared" si="22"/>
        <v>384</v>
      </c>
      <c r="L395" s="246" t="s">
        <v>102</v>
      </c>
      <c r="M395" s="247">
        <v>44491.0</v>
      </c>
      <c r="N395" s="248" t="s">
        <v>282</v>
      </c>
      <c r="O395" s="249">
        <v>100.0</v>
      </c>
      <c r="P395" s="250">
        <v>1.0</v>
      </c>
      <c r="Q395" s="236">
        <f t="shared" si="21"/>
        <v>100</v>
      </c>
      <c r="R395" s="237" t="s">
        <v>27</v>
      </c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</row>
    <row r="396">
      <c r="A396" s="238" t="s">
        <v>66</v>
      </c>
      <c r="B396" s="239" t="s">
        <v>118</v>
      </c>
      <c r="C396" s="240">
        <v>44498.0</v>
      </c>
      <c r="D396" s="241" t="s">
        <v>208</v>
      </c>
      <c r="E396" s="300">
        <v>50.0</v>
      </c>
      <c r="F396" s="227" t="s">
        <v>14</v>
      </c>
      <c r="G396" s="227" t="s">
        <v>16</v>
      </c>
      <c r="H396" s="242"/>
      <c r="I396" s="115"/>
      <c r="J396" s="244" t="s">
        <v>66</v>
      </c>
      <c r="K396" s="317">
        <f t="shared" si="22"/>
        <v>385</v>
      </c>
      <c r="L396" s="246" t="s">
        <v>118</v>
      </c>
      <c r="M396" s="247">
        <v>44489.0</v>
      </c>
      <c r="N396" s="248" t="s">
        <v>306</v>
      </c>
      <c r="O396" s="249">
        <v>70.0</v>
      </c>
      <c r="P396" s="250">
        <v>1.0</v>
      </c>
      <c r="Q396" s="236">
        <f t="shared" si="21"/>
        <v>70</v>
      </c>
      <c r="R396" s="237" t="s">
        <v>27</v>
      </c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</row>
    <row r="397">
      <c r="A397" s="238" t="s">
        <v>66</v>
      </c>
      <c r="B397" s="239"/>
      <c r="C397" s="240"/>
      <c r="D397" s="241"/>
      <c r="E397" s="300"/>
      <c r="F397" s="227"/>
      <c r="G397" s="227"/>
      <c r="H397" s="253"/>
      <c r="I397" s="115"/>
      <c r="J397" s="244" t="s">
        <v>66</v>
      </c>
      <c r="K397" s="317">
        <f t="shared" si="22"/>
        <v>386</v>
      </c>
      <c r="L397" s="246" t="s">
        <v>85</v>
      </c>
      <c r="M397" s="247">
        <v>44492.0</v>
      </c>
      <c r="N397" s="248" t="s">
        <v>307</v>
      </c>
      <c r="O397" s="249">
        <v>10.69</v>
      </c>
      <c r="P397" s="250">
        <v>1.0</v>
      </c>
      <c r="Q397" s="236">
        <f t="shared" si="21"/>
        <v>10.69</v>
      </c>
      <c r="R397" s="237" t="s">
        <v>20</v>
      </c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</row>
    <row r="398">
      <c r="A398" s="238" t="s">
        <v>66</v>
      </c>
      <c r="B398" s="239"/>
      <c r="C398" s="240"/>
      <c r="D398" s="241"/>
      <c r="E398" s="300"/>
      <c r="F398" s="227"/>
      <c r="G398" s="227"/>
      <c r="H398" s="242"/>
      <c r="I398" s="115"/>
      <c r="J398" s="244" t="s">
        <v>66</v>
      </c>
      <c r="K398" s="317">
        <f t="shared" si="22"/>
        <v>387</v>
      </c>
      <c r="L398" s="246" t="s">
        <v>118</v>
      </c>
      <c r="M398" s="247">
        <v>44492.0</v>
      </c>
      <c r="N398" s="248" t="s">
        <v>288</v>
      </c>
      <c r="O398" s="249">
        <v>15.0</v>
      </c>
      <c r="P398" s="250">
        <v>1.0</v>
      </c>
      <c r="Q398" s="236">
        <f t="shared" si="21"/>
        <v>15</v>
      </c>
      <c r="R398" s="237" t="s">
        <v>20</v>
      </c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</row>
    <row r="399">
      <c r="A399" s="238" t="s">
        <v>66</v>
      </c>
      <c r="B399" s="239"/>
      <c r="C399" s="240"/>
      <c r="D399" s="241"/>
      <c r="E399" s="300"/>
      <c r="F399" s="227"/>
      <c r="G399" s="227"/>
      <c r="H399" s="253"/>
      <c r="I399" s="115"/>
      <c r="J399" s="244" t="s">
        <v>66</v>
      </c>
      <c r="K399" s="317">
        <f t="shared" si="22"/>
        <v>388</v>
      </c>
      <c r="L399" s="246" t="s">
        <v>122</v>
      </c>
      <c r="M399" s="247">
        <v>44496.0</v>
      </c>
      <c r="N399" s="248" t="s">
        <v>20</v>
      </c>
      <c r="O399" s="249">
        <v>77.76</v>
      </c>
      <c r="P399" s="250">
        <v>1.0</v>
      </c>
      <c r="Q399" s="236">
        <f t="shared" si="21"/>
        <v>77.76</v>
      </c>
      <c r="R399" s="237" t="s">
        <v>20</v>
      </c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</row>
    <row r="400">
      <c r="A400" s="238" t="s">
        <v>66</v>
      </c>
      <c r="B400" s="239"/>
      <c r="C400" s="240"/>
      <c r="D400" s="241"/>
      <c r="E400" s="300"/>
      <c r="F400" s="227"/>
      <c r="G400" s="227"/>
      <c r="H400" s="242"/>
      <c r="I400" s="115"/>
      <c r="J400" s="244" t="s">
        <v>66</v>
      </c>
      <c r="K400" s="317">
        <f t="shared" si="22"/>
        <v>389</v>
      </c>
      <c r="L400" s="254" t="s">
        <v>122</v>
      </c>
      <c r="M400" s="247">
        <v>44497.0</v>
      </c>
      <c r="N400" s="328" t="s">
        <v>244</v>
      </c>
      <c r="O400" s="249">
        <v>143.63</v>
      </c>
      <c r="P400" s="250">
        <v>1.0</v>
      </c>
      <c r="Q400" s="236">
        <f t="shared" si="21"/>
        <v>143.63</v>
      </c>
      <c r="R400" s="237" t="s">
        <v>20</v>
      </c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</row>
    <row r="401">
      <c r="A401" s="238" t="s">
        <v>66</v>
      </c>
      <c r="B401" s="239"/>
      <c r="C401" s="240"/>
      <c r="D401" s="241"/>
      <c r="E401" s="300"/>
      <c r="F401" s="227"/>
      <c r="G401" s="227"/>
      <c r="H401" s="253"/>
      <c r="I401" s="115"/>
      <c r="J401" s="244" t="s">
        <v>66</v>
      </c>
      <c r="K401" s="317">
        <f t="shared" si="22"/>
        <v>390</v>
      </c>
      <c r="L401" s="256"/>
      <c r="M401" s="257"/>
      <c r="N401" s="258"/>
      <c r="O401" s="252"/>
      <c r="P401" s="259"/>
      <c r="Q401" s="236" t="str">
        <f t="shared" si="21"/>
        <v/>
      </c>
      <c r="R401" s="237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</row>
    <row r="402">
      <c r="A402" s="238" t="s">
        <v>66</v>
      </c>
      <c r="B402" s="239"/>
      <c r="C402" s="240"/>
      <c r="D402" s="241"/>
      <c r="E402" s="300"/>
      <c r="F402" s="227"/>
      <c r="G402" s="227"/>
      <c r="H402" s="242"/>
      <c r="I402" s="115"/>
      <c r="J402" s="244" t="s">
        <v>66</v>
      </c>
      <c r="K402" s="317">
        <f t="shared" si="22"/>
        <v>391</v>
      </c>
      <c r="L402" s="256"/>
      <c r="M402" s="257"/>
      <c r="N402" s="258"/>
      <c r="O402" s="252"/>
      <c r="P402" s="259"/>
      <c r="Q402" s="236" t="str">
        <f t="shared" si="21"/>
        <v/>
      </c>
      <c r="R402" s="237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</row>
    <row r="403">
      <c r="A403" s="238" t="s">
        <v>66</v>
      </c>
      <c r="B403" s="239"/>
      <c r="C403" s="240"/>
      <c r="D403" s="241"/>
      <c r="E403" s="300"/>
      <c r="F403" s="227"/>
      <c r="G403" s="304"/>
      <c r="H403" s="253"/>
      <c r="I403" s="115"/>
      <c r="J403" s="244" t="s">
        <v>66</v>
      </c>
      <c r="K403" s="317">
        <f t="shared" si="22"/>
        <v>392</v>
      </c>
      <c r="L403" s="256"/>
      <c r="M403" s="257"/>
      <c r="N403" s="258"/>
      <c r="O403" s="252"/>
      <c r="P403" s="259"/>
      <c r="Q403" s="236" t="str">
        <f t="shared" si="21"/>
        <v/>
      </c>
      <c r="R403" s="237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</row>
    <row r="404">
      <c r="A404" s="238" t="s">
        <v>66</v>
      </c>
      <c r="B404" s="239"/>
      <c r="C404" s="240"/>
      <c r="D404" s="241"/>
      <c r="E404" s="300"/>
      <c r="F404" s="227"/>
      <c r="G404" s="304"/>
      <c r="H404" s="242"/>
      <c r="I404" s="115"/>
      <c r="J404" s="244" t="s">
        <v>66</v>
      </c>
      <c r="K404" s="317">
        <f t="shared" si="22"/>
        <v>393</v>
      </c>
      <c r="L404" s="256"/>
      <c r="M404" s="257"/>
      <c r="N404" s="258"/>
      <c r="O404" s="252"/>
      <c r="P404" s="259"/>
      <c r="Q404" s="236" t="str">
        <f t="shared" si="21"/>
        <v/>
      </c>
      <c r="R404" s="237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</row>
    <row r="405">
      <c r="A405" s="238" t="s">
        <v>66</v>
      </c>
      <c r="B405" s="239"/>
      <c r="C405" s="240"/>
      <c r="D405" s="241"/>
      <c r="E405" s="300"/>
      <c r="F405" s="227"/>
      <c r="G405" s="227"/>
      <c r="H405" s="253"/>
      <c r="I405" s="115"/>
      <c r="J405" s="244" t="s">
        <v>66</v>
      </c>
      <c r="K405" s="321">
        <f t="shared" si="22"/>
        <v>394</v>
      </c>
      <c r="L405" s="266"/>
      <c r="M405" s="267"/>
      <c r="N405" s="268"/>
      <c r="O405" s="269"/>
      <c r="P405" s="270"/>
      <c r="Q405" s="236" t="str">
        <f t="shared" si="21"/>
        <v/>
      </c>
      <c r="R405" s="237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</row>
    <row r="406">
      <c r="A406" s="238" t="s">
        <v>66</v>
      </c>
      <c r="B406" s="239"/>
      <c r="C406" s="240"/>
      <c r="D406" s="241"/>
      <c r="E406" s="300"/>
      <c r="F406" s="227"/>
      <c r="G406" s="227"/>
      <c r="H406" s="242"/>
      <c r="I406" s="115"/>
      <c r="J406" s="244" t="s">
        <v>66</v>
      </c>
      <c r="K406" s="321">
        <f t="shared" si="22"/>
        <v>395</v>
      </c>
      <c r="L406" s="266"/>
      <c r="M406" s="267"/>
      <c r="N406" s="268"/>
      <c r="O406" s="269"/>
      <c r="P406" s="270"/>
      <c r="Q406" s="236" t="str">
        <f t="shared" si="21"/>
        <v/>
      </c>
      <c r="R406" s="237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</row>
    <row r="407">
      <c r="A407" s="238" t="s">
        <v>66</v>
      </c>
      <c r="B407" s="239"/>
      <c r="C407" s="240"/>
      <c r="D407" s="241"/>
      <c r="E407" s="300"/>
      <c r="F407" s="227"/>
      <c r="G407" s="227"/>
      <c r="H407" s="253"/>
      <c r="I407" s="115"/>
      <c r="J407" s="244" t="s">
        <v>66</v>
      </c>
      <c r="K407" s="321">
        <f t="shared" si="22"/>
        <v>396</v>
      </c>
      <c r="L407" s="266"/>
      <c r="M407" s="267"/>
      <c r="N407" s="268"/>
      <c r="O407" s="269"/>
      <c r="P407" s="270"/>
      <c r="Q407" s="236" t="str">
        <f t="shared" si="21"/>
        <v/>
      </c>
      <c r="R407" s="237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</row>
    <row r="408">
      <c r="A408" s="238" t="s">
        <v>66</v>
      </c>
      <c r="B408" s="239"/>
      <c r="C408" s="240"/>
      <c r="D408" s="241"/>
      <c r="E408" s="300"/>
      <c r="F408" s="227"/>
      <c r="G408" s="227"/>
      <c r="H408" s="242"/>
      <c r="I408" s="115"/>
      <c r="J408" s="244" t="s">
        <v>66</v>
      </c>
      <c r="K408" s="321">
        <f t="shared" si="22"/>
        <v>397</v>
      </c>
      <c r="L408" s="266"/>
      <c r="M408" s="267"/>
      <c r="N408" s="268"/>
      <c r="O408" s="269"/>
      <c r="P408" s="270"/>
      <c r="Q408" s="236" t="str">
        <f t="shared" si="21"/>
        <v/>
      </c>
      <c r="R408" s="237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</row>
    <row r="409">
      <c r="A409" s="238" t="s">
        <v>66</v>
      </c>
      <c r="B409" s="239"/>
      <c r="C409" s="240"/>
      <c r="D409" s="241"/>
      <c r="E409" s="300"/>
      <c r="F409" s="227"/>
      <c r="G409" s="227"/>
      <c r="H409" s="253"/>
      <c r="I409" s="115"/>
      <c r="J409" s="244" t="s">
        <v>66</v>
      </c>
      <c r="K409" s="321">
        <f t="shared" si="22"/>
        <v>398</v>
      </c>
      <c r="L409" s="266"/>
      <c r="M409" s="267"/>
      <c r="N409" s="268"/>
      <c r="O409" s="269"/>
      <c r="P409" s="270"/>
      <c r="Q409" s="236" t="str">
        <f t="shared" si="21"/>
        <v/>
      </c>
      <c r="R409" s="237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</row>
    <row r="410">
      <c r="A410" s="238" t="s">
        <v>66</v>
      </c>
      <c r="B410" s="239"/>
      <c r="C410" s="240"/>
      <c r="D410" s="241"/>
      <c r="E410" s="300"/>
      <c r="F410" s="227"/>
      <c r="G410" s="227"/>
      <c r="H410" s="242"/>
      <c r="I410" s="115"/>
      <c r="J410" s="244" t="s">
        <v>66</v>
      </c>
      <c r="K410" s="321">
        <f t="shared" si="22"/>
        <v>399</v>
      </c>
      <c r="L410" s="266"/>
      <c r="M410" s="267"/>
      <c r="N410" s="268"/>
      <c r="O410" s="269"/>
      <c r="P410" s="270"/>
      <c r="Q410" s="236" t="str">
        <f t="shared" si="21"/>
        <v/>
      </c>
      <c r="R410" s="237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</row>
    <row r="411">
      <c r="A411" s="238" t="s">
        <v>66</v>
      </c>
      <c r="B411" s="239"/>
      <c r="C411" s="240"/>
      <c r="D411" s="241"/>
      <c r="E411" s="300"/>
      <c r="F411" s="227"/>
      <c r="G411" s="227"/>
      <c r="H411" s="253"/>
      <c r="I411" s="115"/>
      <c r="J411" s="244" t="s">
        <v>66</v>
      </c>
      <c r="K411" s="321">
        <f t="shared" si="22"/>
        <v>400</v>
      </c>
      <c r="L411" s="266"/>
      <c r="M411" s="267"/>
      <c r="N411" s="268"/>
      <c r="O411" s="269"/>
      <c r="P411" s="270"/>
      <c r="Q411" s="236" t="str">
        <f t="shared" si="21"/>
        <v/>
      </c>
      <c r="R411" s="273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</row>
    <row r="412">
      <c r="A412" s="238" t="s">
        <v>66</v>
      </c>
      <c r="B412" s="239"/>
      <c r="C412" s="240"/>
      <c r="D412" s="241"/>
      <c r="E412" s="300"/>
      <c r="F412" s="227"/>
      <c r="G412" s="227"/>
      <c r="H412" s="242"/>
      <c r="I412" s="115"/>
      <c r="J412" s="244" t="s">
        <v>66</v>
      </c>
      <c r="K412" s="321">
        <f t="shared" si="22"/>
        <v>401</v>
      </c>
      <c r="L412" s="266"/>
      <c r="M412" s="267"/>
      <c r="N412" s="227"/>
      <c r="O412" s="234"/>
      <c r="P412" s="235"/>
      <c r="Q412" s="236" t="str">
        <f t="shared" si="21"/>
        <v/>
      </c>
      <c r="R412" s="273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</row>
    <row r="413">
      <c r="A413" s="238" t="s">
        <v>66</v>
      </c>
      <c r="B413" s="239"/>
      <c r="C413" s="240"/>
      <c r="D413" s="241"/>
      <c r="E413" s="300"/>
      <c r="F413" s="227"/>
      <c r="G413" s="227"/>
      <c r="H413" s="253"/>
      <c r="I413" s="115"/>
      <c r="J413" s="244" t="s">
        <v>66</v>
      </c>
      <c r="K413" s="321">
        <f t="shared" si="22"/>
        <v>402</v>
      </c>
      <c r="L413" s="266"/>
      <c r="M413" s="267"/>
      <c r="N413" s="227"/>
      <c r="O413" s="234"/>
      <c r="P413" s="235"/>
      <c r="Q413" s="236" t="str">
        <f t="shared" si="21"/>
        <v/>
      </c>
      <c r="R413" s="273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</row>
    <row r="414">
      <c r="A414" s="238" t="s">
        <v>66</v>
      </c>
      <c r="B414" s="239"/>
      <c r="C414" s="240"/>
      <c r="D414" s="241"/>
      <c r="E414" s="300"/>
      <c r="F414" s="227"/>
      <c r="G414" s="227"/>
      <c r="H414" s="242"/>
      <c r="I414" s="115"/>
      <c r="J414" s="244" t="s">
        <v>66</v>
      </c>
      <c r="K414" s="321">
        <f t="shared" si="22"/>
        <v>403</v>
      </c>
      <c r="L414" s="266"/>
      <c r="M414" s="267"/>
      <c r="N414" s="274"/>
      <c r="O414" s="234"/>
      <c r="P414" s="235"/>
      <c r="Q414" s="236" t="str">
        <f t="shared" si="21"/>
        <v/>
      </c>
      <c r="R414" s="273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</row>
    <row r="415">
      <c r="A415" s="238" t="s">
        <v>66</v>
      </c>
      <c r="B415" s="239"/>
      <c r="C415" s="240"/>
      <c r="D415" s="241"/>
      <c r="E415" s="300"/>
      <c r="F415" s="227"/>
      <c r="G415" s="227"/>
      <c r="H415" s="253"/>
      <c r="I415" s="115"/>
      <c r="J415" s="244" t="s">
        <v>66</v>
      </c>
      <c r="K415" s="321">
        <f t="shared" si="22"/>
        <v>404</v>
      </c>
      <c r="L415" s="266"/>
      <c r="M415" s="267"/>
      <c r="N415" s="274"/>
      <c r="O415" s="234"/>
      <c r="P415" s="235"/>
      <c r="Q415" s="236" t="str">
        <f t="shared" si="21"/>
        <v/>
      </c>
      <c r="R415" s="273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</row>
    <row r="416">
      <c r="A416" s="238" t="s">
        <v>66</v>
      </c>
      <c r="B416" s="239"/>
      <c r="C416" s="240"/>
      <c r="D416" s="241"/>
      <c r="E416" s="300"/>
      <c r="F416" s="227"/>
      <c r="G416" s="227"/>
      <c r="H416" s="242"/>
      <c r="I416" s="115"/>
      <c r="J416" s="244" t="s">
        <v>66</v>
      </c>
      <c r="K416" s="321">
        <f t="shared" si="22"/>
        <v>405</v>
      </c>
      <c r="L416" s="266"/>
      <c r="M416" s="267"/>
      <c r="N416" s="274"/>
      <c r="O416" s="234"/>
      <c r="P416" s="235"/>
      <c r="Q416" s="236" t="str">
        <f t="shared" si="21"/>
        <v/>
      </c>
      <c r="R416" s="273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</row>
    <row r="417">
      <c r="A417" s="238" t="s">
        <v>66</v>
      </c>
      <c r="B417" s="239"/>
      <c r="C417" s="240"/>
      <c r="D417" s="241"/>
      <c r="E417" s="300"/>
      <c r="F417" s="227"/>
      <c r="G417" s="227"/>
      <c r="H417" s="253"/>
      <c r="I417" s="115"/>
      <c r="J417" s="244" t="s">
        <v>66</v>
      </c>
      <c r="K417" s="321">
        <f t="shared" si="22"/>
        <v>406</v>
      </c>
      <c r="L417" s="266"/>
      <c r="M417" s="267"/>
      <c r="N417" s="275"/>
      <c r="O417" s="269"/>
      <c r="P417" s="270"/>
      <c r="Q417" s="236" t="str">
        <f t="shared" si="21"/>
        <v/>
      </c>
      <c r="R417" s="273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</row>
    <row r="418">
      <c r="A418" s="238" t="s">
        <v>66</v>
      </c>
      <c r="B418" s="239"/>
      <c r="C418" s="240"/>
      <c r="D418" s="241"/>
      <c r="E418" s="300"/>
      <c r="F418" s="227"/>
      <c r="G418" s="227"/>
      <c r="H418" s="242"/>
      <c r="I418" s="115"/>
      <c r="J418" s="244" t="s">
        <v>66</v>
      </c>
      <c r="K418" s="321">
        <f t="shared" si="22"/>
        <v>407</v>
      </c>
      <c r="L418" s="266"/>
      <c r="M418" s="267"/>
      <c r="N418" s="275"/>
      <c r="O418" s="269"/>
      <c r="P418" s="270"/>
      <c r="Q418" s="236" t="str">
        <f t="shared" si="21"/>
        <v/>
      </c>
      <c r="R418" s="273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</row>
    <row r="419">
      <c r="A419" s="238" t="s">
        <v>66</v>
      </c>
      <c r="B419" s="239"/>
      <c r="C419" s="240"/>
      <c r="D419" s="241"/>
      <c r="E419" s="300"/>
      <c r="F419" s="227"/>
      <c r="G419" s="227"/>
      <c r="H419" s="253"/>
      <c r="I419" s="115"/>
      <c r="J419" s="244" t="s">
        <v>66</v>
      </c>
      <c r="K419" s="321">
        <f t="shared" si="22"/>
        <v>408</v>
      </c>
      <c r="L419" s="266"/>
      <c r="M419" s="267"/>
      <c r="N419" s="275"/>
      <c r="O419" s="269"/>
      <c r="P419" s="270"/>
      <c r="Q419" s="236" t="str">
        <f t="shared" si="21"/>
        <v/>
      </c>
      <c r="R419" s="273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</row>
    <row r="420">
      <c r="A420" s="238" t="s">
        <v>66</v>
      </c>
      <c r="B420" s="239"/>
      <c r="C420" s="240"/>
      <c r="D420" s="241"/>
      <c r="E420" s="300"/>
      <c r="F420" s="227"/>
      <c r="G420" s="227"/>
      <c r="H420" s="242"/>
      <c r="I420" s="115"/>
      <c r="J420" s="244" t="s">
        <v>66</v>
      </c>
      <c r="K420" s="321">
        <f t="shared" si="22"/>
        <v>409</v>
      </c>
      <c r="L420" s="266"/>
      <c r="M420" s="267"/>
      <c r="N420" s="274"/>
      <c r="O420" s="269"/>
      <c r="P420" s="235"/>
      <c r="Q420" s="236" t="str">
        <f t="shared" si="21"/>
        <v/>
      </c>
      <c r="R420" s="273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</row>
    <row r="421">
      <c r="A421" s="276" t="s">
        <v>66</v>
      </c>
      <c r="B421" s="306"/>
      <c r="C421" s="307"/>
      <c r="D421" s="308"/>
      <c r="E421" s="309"/>
      <c r="F421" s="277"/>
      <c r="G421" s="277"/>
      <c r="H421" s="278"/>
      <c r="I421" s="115"/>
      <c r="J421" s="279" t="s">
        <v>66</v>
      </c>
      <c r="K421" s="322">
        <f t="shared" si="22"/>
        <v>410</v>
      </c>
      <c r="L421" s="311"/>
      <c r="M421" s="280"/>
      <c r="N421" s="281"/>
      <c r="O421" s="282"/>
      <c r="P421" s="283"/>
      <c r="Q421" s="236" t="str">
        <f t="shared" si="21"/>
        <v/>
      </c>
      <c r="R421" s="28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</row>
    <row r="422">
      <c r="A422" s="115"/>
      <c r="B422" s="265"/>
      <c r="C422" s="115"/>
      <c r="D422" s="115"/>
      <c r="E422" s="115"/>
      <c r="F422" s="115"/>
      <c r="G422" s="115"/>
      <c r="H422" s="115"/>
      <c r="I422" s="115"/>
      <c r="J422" s="115"/>
      <c r="K422" s="316"/>
      <c r="L422" s="265"/>
      <c r="M422" s="115"/>
      <c r="N422" s="115"/>
      <c r="O422" s="290"/>
      <c r="P422" s="316"/>
      <c r="Q422" s="323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</row>
    <row r="423">
      <c r="A423" s="221" t="s">
        <v>67</v>
      </c>
      <c r="B423" s="222" t="s">
        <v>116</v>
      </c>
      <c r="C423" s="223">
        <v>44503.0</v>
      </c>
      <c r="D423" s="224" t="s">
        <v>308</v>
      </c>
      <c r="E423" s="292">
        <v>1342.5</v>
      </c>
      <c r="F423" s="226" t="s">
        <v>41</v>
      </c>
      <c r="G423" s="226" t="s">
        <v>42</v>
      </c>
      <c r="H423" s="325"/>
      <c r="I423" s="115"/>
      <c r="J423" s="230" t="s">
        <v>67</v>
      </c>
      <c r="K423" s="293">
        <f>K421+1</f>
        <v>411</v>
      </c>
      <c r="L423" s="226" t="s">
        <v>122</v>
      </c>
      <c r="M423" s="294">
        <v>44503.0</v>
      </c>
      <c r="N423" s="295" t="s">
        <v>20</v>
      </c>
      <c r="O423" s="296">
        <v>18.24</v>
      </c>
      <c r="P423" s="297">
        <v>1.0</v>
      </c>
      <c r="Q423" s="236">
        <f t="shared" ref="Q423:Q463" si="23">IFERROR($O423/$P423,"")</f>
        <v>18.24</v>
      </c>
      <c r="R423" s="299" t="s">
        <v>20</v>
      </c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</row>
    <row r="424">
      <c r="A424" s="238" t="s">
        <v>67</v>
      </c>
      <c r="B424" s="239" t="s">
        <v>118</v>
      </c>
      <c r="C424" s="240">
        <v>44503.0</v>
      </c>
      <c r="D424" s="241" t="s">
        <v>135</v>
      </c>
      <c r="E424" s="300">
        <v>83.49</v>
      </c>
      <c r="F424" s="227" t="s">
        <v>14</v>
      </c>
      <c r="G424" s="227" t="s">
        <v>16</v>
      </c>
      <c r="H424" s="242"/>
      <c r="I424" s="115"/>
      <c r="J424" s="244" t="s">
        <v>67</v>
      </c>
      <c r="K424" s="245">
        <f t="shared" ref="K424:K463" si="24">K423+1</f>
        <v>412</v>
      </c>
      <c r="L424" s="246" t="s">
        <v>122</v>
      </c>
      <c r="M424" s="247">
        <v>44502.0</v>
      </c>
      <c r="N424" s="248" t="s">
        <v>20</v>
      </c>
      <c r="O424" s="249">
        <v>27.29</v>
      </c>
      <c r="P424" s="250">
        <v>1.0</v>
      </c>
      <c r="Q424" s="236">
        <f t="shared" si="23"/>
        <v>27.29</v>
      </c>
      <c r="R424" s="237" t="s">
        <v>20</v>
      </c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</row>
    <row r="425">
      <c r="A425" s="238" t="s">
        <v>67</v>
      </c>
      <c r="B425" s="239" t="s">
        <v>102</v>
      </c>
      <c r="C425" s="240">
        <v>44503.0</v>
      </c>
      <c r="D425" s="241" t="s">
        <v>275</v>
      </c>
      <c r="E425" s="300">
        <v>4.0</v>
      </c>
      <c r="F425" s="227" t="s">
        <v>24</v>
      </c>
      <c r="G425" s="227" t="s">
        <v>26</v>
      </c>
      <c r="H425" s="253"/>
      <c r="I425" s="115"/>
      <c r="J425" s="244" t="s">
        <v>67</v>
      </c>
      <c r="K425" s="245">
        <f t="shared" si="24"/>
        <v>413</v>
      </c>
      <c r="L425" s="246" t="s">
        <v>122</v>
      </c>
      <c r="M425" s="247">
        <v>44503.0</v>
      </c>
      <c r="N425" s="248" t="s">
        <v>20</v>
      </c>
      <c r="O425" s="249">
        <v>25.79</v>
      </c>
      <c r="P425" s="250">
        <v>1.0</v>
      </c>
      <c r="Q425" s="236">
        <f t="shared" si="23"/>
        <v>25.79</v>
      </c>
      <c r="R425" s="237" t="s">
        <v>20</v>
      </c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</row>
    <row r="426">
      <c r="A426" s="238" t="s">
        <v>67</v>
      </c>
      <c r="B426" s="239" t="s">
        <v>106</v>
      </c>
      <c r="C426" s="240">
        <v>44503.0</v>
      </c>
      <c r="D426" s="241" t="s">
        <v>284</v>
      </c>
      <c r="E426" s="300">
        <v>2.0</v>
      </c>
      <c r="F426" s="227" t="s">
        <v>24</v>
      </c>
      <c r="G426" s="227" t="s">
        <v>26</v>
      </c>
      <c r="H426" s="242"/>
      <c r="I426" s="115"/>
      <c r="J426" s="244" t="s">
        <v>67</v>
      </c>
      <c r="K426" s="245">
        <f t="shared" si="24"/>
        <v>414</v>
      </c>
      <c r="L426" s="246" t="s">
        <v>122</v>
      </c>
      <c r="M426" s="247">
        <v>44506.0</v>
      </c>
      <c r="N426" s="248" t="s">
        <v>20</v>
      </c>
      <c r="O426" s="249">
        <v>29.07</v>
      </c>
      <c r="P426" s="250">
        <v>1.0</v>
      </c>
      <c r="Q426" s="236">
        <f t="shared" si="23"/>
        <v>29.07</v>
      </c>
      <c r="R426" s="237" t="s">
        <v>20</v>
      </c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</row>
    <row r="427">
      <c r="A427" s="238" t="s">
        <v>67</v>
      </c>
      <c r="B427" s="239" t="s">
        <v>95</v>
      </c>
      <c r="C427" s="240">
        <v>44504.0</v>
      </c>
      <c r="D427" s="241" t="s">
        <v>149</v>
      </c>
      <c r="E427" s="300">
        <v>4.0</v>
      </c>
      <c r="F427" s="227" t="s">
        <v>24</v>
      </c>
      <c r="G427" s="227" t="s">
        <v>26</v>
      </c>
      <c r="H427" s="251"/>
      <c r="I427" s="115"/>
      <c r="J427" s="244" t="s">
        <v>67</v>
      </c>
      <c r="K427" s="317">
        <f t="shared" si="24"/>
        <v>415</v>
      </c>
      <c r="L427" s="246" t="s">
        <v>122</v>
      </c>
      <c r="M427" s="247">
        <v>44508.0</v>
      </c>
      <c r="N427" s="248" t="s">
        <v>244</v>
      </c>
      <c r="O427" s="249">
        <v>134.84</v>
      </c>
      <c r="P427" s="250">
        <v>1.0</v>
      </c>
      <c r="Q427" s="236">
        <f t="shared" si="23"/>
        <v>134.84</v>
      </c>
      <c r="R427" s="237" t="s">
        <v>20</v>
      </c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</row>
    <row r="428">
      <c r="A428" s="238" t="s">
        <v>67</v>
      </c>
      <c r="B428" s="239" t="s">
        <v>116</v>
      </c>
      <c r="C428" s="240">
        <v>44511.0</v>
      </c>
      <c r="D428" s="241" t="s">
        <v>231</v>
      </c>
      <c r="E428" s="300">
        <v>287.54</v>
      </c>
      <c r="F428" s="227" t="s">
        <v>14</v>
      </c>
      <c r="G428" s="227" t="s">
        <v>16</v>
      </c>
      <c r="H428" s="272" t="s">
        <v>17</v>
      </c>
      <c r="I428" s="115"/>
      <c r="J428" s="244" t="s">
        <v>67</v>
      </c>
      <c r="K428" s="317">
        <f t="shared" si="24"/>
        <v>416</v>
      </c>
      <c r="L428" s="246" t="s">
        <v>122</v>
      </c>
      <c r="M428" s="247">
        <v>44508.0</v>
      </c>
      <c r="N428" s="248" t="s">
        <v>243</v>
      </c>
      <c r="O428" s="249">
        <v>116.18</v>
      </c>
      <c r="P428" s="250">
        <v>1.0</v>
      </c>
      <c r="Q428" s="236">
        <f t="shared" si="23"/>
        <v>116.18</v>
      </c>
      <c r="R428" s="237" t="s">
        <v>20</v>
      </c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</row>
    <row r="429">
      <c r="A429" s="238" t="s">
        <v>67</v>
      </c>
      <c r="B429" s="239" t="s">
        <v>85</v>
      </c>
      <c r="C429" s="240">
        <v>44511.0</v>
      </c>
      <c r="D429" s="241" t="s">
        <v>238</v>
      </c>
      <c r="E429" s="300">
        <v>11.0</v>
      </c>
      <c r="F429" s="227" t="s">
        <v>14</v>
      </c>
      <c r="G429" s="227" t="s">
        <v>16</v>
      </c>
      <c r="H429" s="253"/>
      <c r="I429" s="115"/>
      <c r="J429" s="244" t="s">
        <v>67</v>
      </c>
      <c r="K429" s="317">
        <f t="shared" si="24"/>
        <v>417</v>
      </c>
      <c r="L429" s="246" t="s">
        <v>102</v>
      </c>
      <c r="M429" s="247">
        <v>44519.0</v>
      </c>
      <c r="N429" s="248" t="s">
        <v>133</v>
      </c>
      <c r="O429" s="249">
        <v>100.0</v>
      </c>
      <c r="P429" s="250">
        <v>1.0</v>
      </c>
      <c r="Q429" s="236">
        <f t="shared" si="23"/>
        <v>100</v>
      </c>
      <c r="R429" s="237" t="s">
        <v>27</v>
      </c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</row>
    <row r="430">
      <c r="A430" s="238" t="s">
        <v>67</v>
      </c>
      <c r="B430" s="239" t="s">
        <v>85</v>
      </c>
      <c r="C430" s="240">
        <v>44517.0</v>
      </c>
      <c r="D430" s="241" t="s">
        <v>182</v>
      </c>
      <c r="E430" s="300">
        <v>35.9</v>
      </c>
      <c r="F430" s="227" t="s">
        <v>14</v>
      </c>
      <c r="G430" s="227" t="s">
        <v>16</v>
      </c>
      <c r="H430" s="242"/>
      <c r="I430" s="115"/>
      <c r="J430" s="244" t="s">
        <v>67</v>
      </c>
      <c r="K430" s="317">
        <f t="shared" si="24"/>
        <v>418</v>
      </c>
      <c r="L430" s="246" t="s">
        <v>122</v>
      </c>
      <c r="M430" s="247">
        <v>44519.0</v>
      </c>
      <c r="N430" s="248" t="s">
        <v>244</v>
      </c>
      <c r="O430" s="249">
        <v>121.14</v>
      </c>
      <c r="P430" s="250">
        <v>1.0</v>
      </c>
      <c r="Q430" s="236">
        <f t="shared" si="23"/>
        <v>121.14</v>
      </c>
      <c r="R430" s="237" t="s">
        <v>20</v>
      </c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</row>
    <row r="431">
      <c r="A431" s="238" t="s">
        <v>67</v>
      </c>
      <c r="B431" s="239" t="s">
        <v>118</v>
      </c>
      <c r="C431" s="240">
        <v>44519.0</v>
      </c>
      <c r="D431" s="241" t="s">
        <v>262</v>
      </c>
      <c r="E431" s="300">
        <v>50.0</v>
      </c>
      <c r="F431" s="227" t="s">
        <v>14</v>
      </c>
      <c r="G431" s="227" t="s">
        <v>16</v>
      </c>
      <c r="H431" s="251"/>
      <c r="I431" s="115"/>
      <c r="J431" s="244" t="s">
        <v>67</v>
      </c>
      <c r="K431" s="317">
        <f t="shared" si="24"/>
        <v>419</v>
      </c>
      <c r="L431" s="246" t="s">
        <v>85</v>
      </c>
      <c r="M431" s="247">
        <v>44520.0</v>
      </c>
      <c r="N431" s="248" t="s">
        <v>20</v>
      </c>
      <c r="O431" s="249">
        <v>105.44</v>
      </c>
      <c r="P431" s="250">
        <v>1.0</v>
      </c>
      <c r="Q431" s="236">
        <f t="shared" si="23"/>
        <v>105.44</v>
      </c>
      <c r="R431" s="237" t="s">
        <v>20</v>
      </c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</row>
    <row r="432">
      <c r="A432" s="238" t="s">
        <v>67</v>
      </c>
      <c r="B432" s="239" t="s">
        <v>85</v>
      </c>
      <c r="C432" s="240">
        <v>44519.0</v>
      </c>
      <c r="D432" s="241" t="s">
        <v>255</v>
      </c>
      <c r="E432" s="300">
        <v>30.0</v>
      </c>
      <c r="F432" s="227" t="s">
        <v>14</v>
      </c>
      <c r="G432" s="227" t="s">
        <v>16</v>
      </c>
      <c r="H432" s="272"/>
      <c r="I432" s="115"/>
      <c r="J432" s="244" t="s">
        <v>67</v>
      </c>
      <c r="K432" s="317">
        <f t="shared" si="24"/>
        <v>420</v>
      </c>
      <c r="L432" s="246" t="s">
        <v>120</v>
      </c>
      <c r="M432" s="247">
        <v>44522.0</v>
      </c>
      <c r="N432" s="248" t="s">
        <v>309</v>
      </c>
      <c r="O432" s="249">
        <v>19.08</v>
      </c>
      <c r="P432" s="250">
        <v>1.0</v>
      </c>
      <c r="Q432" s="236">
        <f t="shared" si="23"/>
        <v>19.08</v>
      </c>
      <c r="R432" s="237" t="s">
        <v>14</v>
      </c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</row>
    <row r="433">
      <c r="A433" s="238" t="s">
        <v>67</v>
      </c>
      <c r="B433" s="239" t="s">
        <v>118</v>
      </c>
      <c r="C433" s="240">
        <v>44519.0</v>
      </c>
      <c r="D433" s="241" t="s">
        <v>301</v>
      </c>
      <c r="E433" s="300">
        <v>9.9</v>
      </c>
      <c r="F433" s="227" t="s">
        <v>14</v>
      </c>
      <c r="G433" s="227" t="s">
        <v>16</v>
      </c>
      <c r="H433" s="253"/>
      <c r="I433" s="115"/>
      <c r="J433" s="244" t="s">
        <v>67</v>
      </c>
      <c r="K433" s="317">
        <f t="shared" si="24"/>
        <v>421</v>
      </c>
      <c r="L433" s="246" t="s">
        <v>118</v>
      </c>
      <c r="M433" s="247">
        <v>44523.0</v>
      </c>
      <c r="N433" s="248" t="s">
        <v>288</v>
      </c>
      <c r="O433" s="249">
        <v>15.0</v>
      </c>
      <c r="P433" s="250">
        <v>1.0</v>
      </c>
      <c r="Q433" s="236">
        <f t="shared" si="23"/>
        <v>15</v>
      </c>
      <c r="R433" s="237" t="s">
        <v>20</v>
      </c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</row>
    <row r="434">
      <c r="A434" s="238" t="s">
        <v>67</v>
      </c>
      <c r="B434" s="239" t="s">
        <v>118</v>
      </c>
      <c r="C434" s="240">
        <v>44522.0</v>
      </c>
      <c r="D434" s="241" t="s">
        <v>188</v>
      </c>
      <c r="E434" s="300">
        <v>125.42</v>
      </c>
      <c r="F434" s="227" t="s">
        <v>14</v>
      </c>
      <c r="G434" s="227" t="s">
        <v>16</v>
      </c>
      <c r="H434" s="242"/>
      <c r="I434" s="115"/>
      <c r="J434" s="244" t="s">
        <v>67</v>
      </c>
      <c r="K434" s="317">
        <f t="shared" si="24"/>
        <v>422</v>
      </c>
      <c r="L434" s="246" t="s">
        <v>122</v>
      </c>
      <c r="M434" s="247">
        <v>44528.0</v>
      </c>
      <c r="N434" s="248" t="s">
        <v>249</v>
      </c>
      <c r="O434" s="249">
        <v>31.38</v>
      </c>
      <c r="P434" s="250">
        <v>1.0</v>
      </c>
      <c r="Q434" s="236">
        <f t="shared" si="23"/>
        <v>31.38</v>
      </c>
      <c r="R434" s="237" t="s">
        <v>20</v>
      </c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</row>
    <row r="435">
      <c r="A435" s="238" t="s">
        <v>67</v>
      </c>
      <c r="B435" s="239" t="s">
        <v>85</v>
      </c>
      <c r="C435" s="240">
        <v>44524.0</v>
      </c>
      <c r="D435" s="241" t="s">
        <v>310</v>
      </c>
      <c r="E435" s="300">
        <v>162.8</v>
      </c>
      <c r="F435" s="227" t="s">
        <v>14</v>
      </c>
      <c r="G435" s="227" t="s">
        <v>16</v>
      </c>
      <c r="H435" s="253"/>
      <c r="I435" s="115"/>
      <c r="J435" s="244" t="s">
        <v>67</v>
      </c>
      <c r="K435" s="317">
        <f t="shared" si="24"/>
        <v>423</v>
      </c>
      <c r="L435" s="254" t="s">
        <v>102</v>
      </c>
      <c r="M435" s="247">
        <v>44528.0</v>
      </c>
      <c r="N435" s="328" t="s">
        <v>311</v>
      </c>
      <c r="O435" s="249">
        <v>429.65</v>
      </c>
      <c r="P435" s="250">
        <v>5.0</v>
      </c>
      <c r="Q435" s="236">
        <f t="shared" si="23"/>
        <v>85.93</v>
      </c>
      <c r="R435" s="237" t="s">
        <v>14</v>
      </c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</row>
    <row r="436">
      <c r="A436" s="238" t="s">
        <v>67</v>
      </c>
      <c r="B436" s="239" t="s">
        <v>85</v>
      </c>
      <c r="C436" s="240">
        <v>44524.0</v>
      </c>
      <c r="D436" s="241" t="s">
        <v>310</v>
      </c>
      <c r="E436" s="300">
        <v>16.28</v>
      </c>
      <c r="F436" s="227" t="s">
        <v>14</v>
      </c>
      <c r="G436" s="227" t="s">
        <v>16</v>
      </c>
      <c r="H436" s="242"/>
      <c r="I436" s="115"/>
      <c r="J436" s="244" t="s">
        <v>67</v>
      </c>
      <c r="K436" s="317">
        <f t="shared" si="24"/>
        <v>424</v>
      </c>
      <c r="L436" s="256"/>
      <c r="M436" s="257"/>
      <c r="N436" s="258"/>
      <c r="O436" s="252"/>
      <c r="P436" s="259"/>
      <c r="Q436" s="236" t="str">
        <f t="shared" si="23"/>
        <v/>
      </c>
      <c r="R436" s="237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</row>
    <row r="437">
      <c r="A437" s="238" t="s">
        <v>67</v>
      </c>
      <c r="B437" s="239" t="s">
        <v>120</v>
      </c>
      <c r="C437" s="240">
        <v>44523.0</v>
      </c>
      <c r="D437" s="241" t="s">
        <v>312</v>
      </c>
      <c r="E437" s="300">
        <v>11.99</v>
      </c>
      <c r="F437" s="227" t="s">
        <v>14</v>
      </c>
      <c r="G437" s="227" t="s">
        <v>16</v>
      </c>
      <c r="H437" s="253"/>
      <c r="I437" s="115"/>
      <c r="J437" s="244" t="s">
        <v>67</v>
      </c>
      <c r="K437" s="317">
        <f t="shared" si="24"/>
        <v>425</v>
      </c>
      <c r="L437" s="256"/>
      <c r="M437" s="257"/>
      <c r="N437" s="258"/>
      <c r="O437" s="252"/>
      <c r="P437" s="259"/>
      <c r="Q437" s="236" t="str">
        <f t="shared" si="23"/>
        <v/>
      </c>
      <c r="R437" s="237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</row>
    <row r="438">
      <c r="A438" s="238" t="s">
        <v>67</v>
      </c>
      <c r="B438" s="239" t="s">
        <v>85</v>
      </c>
      <c r="C438" s="240">
        <v>44526.0</v>
      </c>
      <c r="D438" s="241" t="s">
        <v>313</v>
      </c>
      <c r="E438" s="300">
        <v>5.5</v>
      </c>
      <c r="F438" s="227" t="s">
        <v>14</v>
      </c>
      <c r="G438" s="227" t="s">
        <v>16</v>
      </c>
      <c r="H438" s="242"/>
      <c r="I438" s="115"/>
      <c r="J438" s="244" t="s">
        <v>67</v>
      </c>
      <c r="K438" s="317">
        <f t="shared" si="24"/>
        <v>426</v>
      </c>
      <c r="L438" s="256"/>
      <c r="M438" s="257"/>
      <c r="N438" s="258"/>
      <c r="O438" s="252"/>
      <c r="P438" s="259"/>
      <c r="Q438" s="236" t="str">
        <f t="shared" si="23"/>
        <v/>
      </c>
      <c r="R438" s="237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</row>
    <row r="439">
      <c r="A439" s="238" t="s">
        <v>67</v>
      </c>
      <c r="B439" s="239" t="s">
        <v>85</v>
      </c>
      <c r="C439" s="240">
        <v>44526.0</v>
      </c>
      <c r="D439" s="241" t="s">
        <v>249</v>
      </c>
      <c r="E439" s="300">
        <v>33.0</v>
      </c>
      <c r="F439" s="227" t="s">
        <v>14</v>
      </c>
      <c r="G439" s="227" t="s">
        <v>16</v>
      </c>
      <c r="H439" s="253"/>
      <c r="I439" s="115"/>
      <c r="J439" s="244" t="s">
        <v>67</v>
      </c>
      <c r="K439" s="317">
        <f t="shared" si="24"/>
        <v>427</v>
      </c>
      <c r="L439" s="256"/>
      <c r="M439" s="257"/>
      <c r="N439" s="258"/>
      <c r="O439" s="252"/>
      <c r="P439" s="259"/>
      <c r="Q439" s="236" t="str">
        <f t="shared" si="23"/>
        <v/>
      </c>
      <c r="R439" s="237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</row>
    <row r="440">
      <c r="A440" s="238" t="s">
        <v>67</v>
      </c>
      <c r="B440" s="239" t="s">
        <v>85</v>
      </c>
      <c r="C440" s="240">
        <v>44527.0</v>
      </c>
      <c r="D440" s="241" t="s">
        <v>297</v>
      </c>
      <c r="E440" s="300">
        <v>6.5</v>
      </c>
      <c r="F440" s="227" t="s">
        <v>14</v>
      </c>
      <c r="G440" s="227" t="s">
        <v>16</v>
      </c>
      <c r="H440" s="242"/>
      <c r="I440" s="115"/>
      <c r="J440" s="244" t="s">
        <v>67</v>
      </c>
      <c r="K440" s="317">
        <f t="shared" si="24"/>
        <v>428</v>
      </c>
      <c r="L440" s="256"/>
      <c r="M440" s="257"/>
      <c r="N440" s="258"/>
      <c r="O440" s="252"/>
      <c r="P440" s="259"/>
      <c r="Q440" s="236" t="str">
        <f t="shared" si="23"/>
        <v/>
      </c>
      <c r="R440" s="237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</row>
    <row r="441">
      <c r="A441" s="238" t="s">
        <v>67</v>
      </c>
      <c r="B441" s="239" t="s">
        <v>85</v>
      </c>
      <c r="C441" s="240">
        <v>44527.0</v>
      </c>
      <c r="D441" s="241" t="s">
        <v>314</v>
      </c>
      <c r="E441" s="300">
        <v>15.4</v>
      </c>
      <c r="F441" s="227" t="s">
        <v>14</v>
      </c>
      <c r="G441" s="227" t="s">
        <v>16</v>
      </c>
      <c r="H441" s="253"/>
      <c r="I441" s="115"/>
      <c r="J441" s="244" t="s">
        <v>67</v>
      </c>
      <c r="K441" s="317">
        <f t="shared" si="24"/>
        <v>429</v>
      </c>
      <c r="L441" s="256"/>
      <c r="M441" s="257"/>
      <c r="N441" s="258"/>
      <c r="O441" s="252"/>
      <c r="P441" s="259"/>
      <c r="Q441" s="236" t="str">
        <f t="shared" si="23"/>
        <v/>
      </c>
      <c r="R441" s="237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</row>
    <row r="442">
      <c r="A442" s="238" t="s">
        <v>67</v>
      </c>
      <c r="B442" s="239" t="s">
        <v>98</v>
      </c>
      <c r="C442" s="240">
        <v>44527.0</v>
      </c>
      <c r="D442" s="241" t="s">
        <v>315</v>
      </c>
      <c r="E442" s="300">
        <v>154.0</v>
      </c>
      <c r="F442" s="227" t="s">
        <v>14</v>
      </c>
      <c r="G442" s="227" t="s">
        <v>16</v>
      </c>
      <c r="H442" s="242"/>
      <c r="I442" s="115"/>
      <c r="J442" s="244" t="s">
        <v>67</v>
      </c>
      <c r="K442" s="317">
        <f t="shared" si="24"/>
        <v>430</v>
      </c>
      <c r="L442" s="256"/>
      <c r="M442" s="257"/>
      <c r="N442" s="258"/>
      <c r="O442" s="252"/>
      <c r="P442" s="259"/>
      <c r="Q442" s="236" t="str">
        <f t="shared" si="23"/>
        <v/>
      </c>
      <c r="R442" s="237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</row>
    <row r="443">
      <c r="A443" s="238" t="s">
        <v>67</v>
      </c>
      <c r="B443" s="239" t="s">
        <v>85</v>
      </c>
      <c r="C443" s="240">
        <v>44527.0</v>
      </c>
      <c r="D443" s="241" t="s">
        <v>238</v>
      </c>
      <c r="E443" s="300">
        <v>12.0</v>
      </c>
      <c r="F443" s="227" t="s">
        <v>14</v>
      </c>
      <c r="G443" s="227" t="s">
        <v>16</v>
      </c>
      <c r="H443" s="253"/>
      <c r="I443" s="115"/>
      <c r="J443" s="244" t="s">
        <v>67</v>
      </c>
      <c r="K443" s="317">
        <f t="shared" si="24"/>
        <v>431</v>
      </c>
      <c r="L443" s="256"/>
      <c r="M443" s="257"/>
      <c r="N443" s="258"/>
      <c r="O443" s="252"/>
      <c r="P443" s="259"/>
      <c r="Q443" s="236" t="str">
        <f t="shared" si="23"/>
        <v/>
      </c>
      <c r="R443" s="237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</row>
    <row r="444">
      <c r="A444" s="238" t="s">
        <v>67</v>
      </c>
      <c r="B444" s="239"/>
      <c r="C444" s="240"/>
      <c r="D444" s="241"/>
      <c r="E444" s="300"/>
      <c r="F444" s="227"/>
      <c r="G444" s="227"/>
      <c r="H444" s="242"/>
      <c r="I444" s="115"/>
      <c r="J444" s="244" t="s">
        <v>67</v>
      </c>
      <c r="K444" s="317">
        <f t="shared" si="24"/>
        <v>432</v>
      </c>
      <c r="L444" s="256"/>
      <c r="M444" s="257"/>
      <c r="N444" s="258"/>
      <c r="O444" s="252"/>
      <c r="P444" s="259"/>
      <c r="Q444" s="236" t="str">
        <f t="shared" si="23"/>
        <v/>
      </c>
      <c r="R444" s="237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</row>
    <row r="445">
      <c r="A445" s="238" t="s">
        <v>67</v>
      </c>
      <c r="B445" s="239"/>
      <c r="C445" s="240"/>
      <c r="D445" s="241"/>
      <c r="E445" s="300"/>
      <c r="F445" s="227"/>
      <c r="G445" s="227"/>
      <c r="H445" s="253"/>
      <c r="I445" s="115"/>
      <c r="J445" s="244" t="s">
        <v>67</v>
      </c>
      <c r="K445" s="317">
        <f t="shared" si="24"/>
        <v>433</v>
      </c>
      <c r="L445" s="256"/>
      <c r="M445" s="257"/>
      <c r="N445" s="258"/>
      <c r="O445" s="252"/>
      <c r="P445" s="259"/>
      <c r="Q445" s="236" t="str">
        <f t="shared" si="23"/>
        <v/>
      </c>
      <c r="R445" s="237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</row>
    <row r="446">
      <c r="A446" s="238" t="s">
        <v>67</v>
      </c>
      <c r="B446" s="239"/>
      <c r="C446" s="240"/>
      <c r="D446" s="241"/>
      <c r="E446" s="300"/>
      <c r="F446" s="227"/>
      <c r="G446" s="227"/>
      <c r="H446" s="242"/>
      <c r="I446" s="115"/>
      <c r="J446" s="244" t="s">
        <v>67</v>
      </c>
      <c r="K446" s="317">
        <f t="shared" si="24"/>
        <v>434</v>
      </c>
      <c r="L446" s="256"/>
      <c r="M446" s="257"/>
      <c r="N446" s="258"/>
      <c r="O446" s="252"/>
      <c r="P446" s="259"/>
      <c r="Q446" s="236" t="str">
        <f t="shared" si="23"/>
        <v/>
      </c>
      <c r="R446" s="237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</row>
    <row r="447">
      <c r="A447" s="238" t="s">
        <v>67</v>
      </c>
      <c r="B447" s="239"/>
      <c r="C447" s="240"/>
      <c r="D447" s="241"/>
      <c r="E447" s="300"/>
      <c r="F447" s="227"/>
      <c r="G447" s="227"/>
      <c r="H447" s="253"/>
      <c r="I447" s="115"/>
      <c r="J447" s="244" t="s">
        <v>67</v>
      </c>
      <c r="K447" s="321">
        <f t="shared" si="24"/>
        <v>435</v>
      </c>
      <c r="L447" s="266"/>
      <c r="M447" s="267"/>
      <c r="N447" s="268"/>
      <c r="O447" s="269"/>
      <c r="P447" s="270"/>
      <c r="Q447" s="236" t="str">
        <f t="shared" si="23"/>
        <v/>
      </c>
      <c r="R447" s="237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</row>
    <row r="448">
      <c r="A448" s="238" t="s">
        <v>67</v>
      </c>
      <c r="B448" s="239"/>
      <c r="C448" s="240"/>
      <c r="D448" s="241"/>
      <c r="E448" s="300"/>
      <c r="F448" s="227"/>
      <c r="G448" s="227"/>
      <c r="H448" s="242"/>
      <c r="I448" s="115"/>
      <c r="J448" s="244" t="s">
        <v>67</v>
      </c>
      <c r="K448" s="321">
        <f t="shared" si="24"/>
        <v>436</v>
      </c>
      <c r="L448" s="266"/>
      <c r="M448" s="267"/>
      <c r="N448" s="268"/>
      <c r="O448" s="269"/>
      <c r="P448" s="270"/>
      <c r="Q448" s="236" t="str">
        <f t="shared" si="23"/>
        <v/>
      </c>
      <c r="R448" s="237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</row>
    <row r="449">
      <c r="A449" s="238" t="s">
        <v>67</v>
      </c>
      <c r="B449" s="239"/>
      <c r="C449" s="240"/>
      <c r="D449" s="241"/>
      <c r="E449" s="300"/>
      <c r="F449" s="227"/>
      <c r="G449" s="227"/>
      <c r="H449" s="253"/>
      <c r="I449" s="115"/>
      <c r="J449" s="244" t="s">
        <v>67</v>
      </c>
      <c r="K449" s="321">
        <f t="shared" si="24"/>
        <v>437</v>
      </c>
      <c r="L449" s="266"/>
      <c r="M449" s="267"/>
      <c r="N449" s="268"/>
      <c r="O449" s="269"/>
      <c r="P449" s="270"/>
      <c r="Q449" s="236" t="str">
        <f t="shared" si="23"/>
        <v/>
      </c>
      <c r="R449" s="237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</row>
    <row r="450">
      <c r="A450" s="238" t="s">
        <v>67</v>
      </c>
      <c r="B450" s="239"/>
      <c r="C450" s="240"/>
      <c r="D450" s="241"/>
      <c r="E450" s="300"/>
      <c r="F450" s="227"/>
      <c r="G450" s="227"/>
      <c r="H450" s="242"/>
      <c r="I450" s="115"/>
      <c r="J450" s="244" t="s">
        <v>67</v>
      </c>
      <c r="K450" s="321">
        <f t="shared" si="24"/>
        <v>438</v>
      </c>
      <c r="L450" s="266"/>
      <c r="M450" s="267"/>
      <c r="N450" s="268"/>
      <c r="O450" s="269"/>
      <c r="P450" s="270"/>
      <c r="Q450" s="236" t="str">
        <f t="shared" si="23"/>
        <v/>
      </c>
      <c r="R450" s="237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</row>
    <row r="451">
      <c r="A451" s="238" t="s">
        <v>67</v>
      </c>
      <c r="B451" s="239"/>
      <c r="C451" s="240"/>
      <c r="D451" s="241"/>
      <c r="E451" s="300"/>
      <c r="F451" s="227"/>
      <c r="G451" s="227"/>
      <c r="H451" s="253"/>
      <c r="I451" s="115"/>
      <c r="J451" s="244" t="s">
        <v>67</v>
      </c>
      <c r="K451" s="321">
        <f t="shared" si="24"/>
        <v>439</v>
      </c>
      <c r="L451" s="266"/>
      <c r="M451" s="267"/>
      <c r="N451" s="268"/>
      <c r="O451" s="269"/>
      <c r="P451" s="270"/>
      <c r="Q451" s="236" t="str">
        <f t="shared" si="23"/>
        <v/>
      </c>
      <c r="R451" s="237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</row>
    <row r="452">
      <c r="A452" s="238" t="s">
        <v>67</v>
      </c>
      <c r="B452" s="239"/>
      <c r="C452" s="240"/>
      <c r="D452" s="241"/>
      <c r="E452" s="300"/>
      <c r="F452" s="227"/>
      <c r="G452" s="227"/>
      <c r="H452" s="242"/>
      <c r="I452" s="115"/>
      <c r="J452" s="244" t="s">
        <v>67</v>
      </c>
      <c r="K452" s="321">
        <f t="shared" si="24"/>
        <v>440</v>
      </c>
      <c r="L452" s="266"/>
      <c r="M452" s="267"/>
      <c r="N452" s="268"/>
      <c r="O452" s="269"/>
      <c r="P452" s="270"/>
      <c r="Q452" s="236" t="str">
        <f t="shared" si="23"/>
        <v/>
      </c>
      <c r="R452" s="237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</row>
    <row r="453">
      <c r="A453" s="238" t="s">
        <v>67</v>
      </c>
      <c r="B453" s="239"/>
      <c r="C453" s="240"/>
      <c r="D453" s="241"/>
      <c r="E453" s="300"/>
      <c r="F453" s="227"/>
      <c r="G453" s="227"/>
      <c r="H453" s="253"/>
      <c r="I453" s="115"/>
      <c r="J453" s="244" t="s">
        <v>67</v>
      </c>
      <c r="K453" s="321">
        <f t="shared" si="24"/>
        <v>441</v>
      </c>
      <c r="L453" s="266"/>
      <c r="M453" s="267"/>
      <c r="N453" s="268"/>
      <c r="O453" s="269"/>
      <c r="P453" s="270"/>
      <c r="Q453" s="236" t="str">
        <f t="shared" si="23"/>
        <v/>
      </c>
      <c r="R453" s="273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</row>
    <row r="454">
      <c r="A454" s="238" t="s">
        <v>67</v>
      </c>
      <c r="B454" s="239"/>
      <c r="C454" s="240"/>
      <c r="D454" s="241"/>
      <c r="E454" s="300"/>
      <c r="F454" s="227"/>
      <c r="G454" s="227"/>
      <c r="H454" s="242"/>
      <c r="I454" s="115"/>
      <c r="J454" s="244" t="s">
        <v>67</v>
      </c>
      <c r="K454" s="321">
        <f t="shared" si="24"/>
        <v>442</v>
      </c>
      <c r="L454" s="266"/>
      <c r="M454" s="267"/>
      <c r="N454" s="227"/>
      <c r="O454" s="234"/>
      <c r="P454" s="235"/>
      <c r="Q454" s="236" t="str">
        <f t="shared" si="23"/>
        <v/>
      </c>
      <c r="R454" s="273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</row>
    <row r="455">
      <c r="A455" s="238" t="s">
        <v>67</v>
      </c>
      <c r="B455" s="239"/>
      <c r="C455" s="240"/>
      <c r="D455" s="241"/>
      <c r="E455" s="300"/>
      <c r="F455" s="227"/>
      <c r="G455" s="227"/>
      <c r="H455" s="253"/>
      <c r="I455" s="115"/>
      <c r="J455" s="244" t="s">
        <v>67</v>
      </c>
      <c r="K455" s="321">
        <f t="shared" si="24"/>
        <v>443</v>
      </c>
      <c r="L455" s="266"/>
      <c r="M455" s="267"/>
      <c r="N455" s="227"/>
      <c r="O455" s="234"/>
      <c r="P455" s="235"/>
      <c r="Q455" s="236" t="str">
        <f t="shared" si="23"/>
        <v/>
      </c>
      <c r="R455" s="273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</row>
    <row r="456">
      <c r="A456" s="238" t="s">
        <v>67</v>
      </c>
      <c r="B456" s="239"/>
      <c r="C456" s="240"/>
      <c r="D456" s="241"/>
      <c r="E456" s="300"/>
      <c r="F456" s="227"/>
      <c r="G456" s="227"/>
      <c r="H456" s="242"/>
      <c r="I456" s="115"/>
      <c r="J456" s="244" t="s">
        <v>67</v>
      </c>
      <c r="K456" s="321">
        <f t="shared" si="24"/>
        <v>444</v>
      </c>
      <c r="L456" s="266"/>
      <c r="M456" s="267"/>
      <c r="N456" s="274"/>
      <c r="O456" s="234"/>
      <c r="P456" s="235"/>
      <c r="Q456" s="236" t="str">
        <f t="shared" si="23"/>
        <v/>
      </c>
      <c r="R456" s="273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</row>
    <row r="457">
      <c r="A457" s="238" t="s">
        <v>67</v>
      </c>
      <c r="B457" s="239"/>
      <c r="C457" s="240"/>
      <c r="D457" s="241"/>
      <c r="E457" s="300"/>
      <c r="F457" s="227"/>
      <c r="G457" s="227"/>
      <c r="H457" s="253"/>
      <c r="I457" s="115"/>
      <c r="J457" s="244" t="s">
        <v>67</v>
      </c>
      <c r="K457" s="321">
        <f t="shared" si="24"/>
        <v>445</v>
      </c>
      <c r="L457" s="266"/>
      <c r="M457" s="267"/>
      <c r="N457" s="274"/>
      <c r="O457" s="234"/>
      <c r="P457" s="235"/>
      <c r="Q457" s="236" t="str">
        <f t="shared" si="23"/>
        <v/>
      </c>
      <c r="R457" s="273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</row>
    <row r="458">
      <c r="A458" s="238" t="s">
        <v>67</v>
      </c>
      <c r="B458" s="239"/>
      <c r="C458" s="240"/>
      <c r="D458" s="241"/>
      <c r="E458" s="300"/>
      <c r="F458" s="227"/>
      <c r="G458" s="227"/>
      <c r="H458" s="242"/>
      <c r="I458" s="115"/>
      <c r="J458" s="244" t="s">
        <v>67</v>
      </c>
      <c r="K458" s="321">
        <f t="shared" si="24"/>
        <v>446</v>
      </c>
      <c r="L458" s="266"/>
      <c r="M458" s="267"/>
      <c r="N458" s="274"/>
      <c r="O458" s="234"/>
      <c r="P458" s="235"/>
      <c r="Q458" s="236" t="str">
        <f t="shared" si="23"/>
        <v/>
      </c>
      <c r="R458" s="273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</row>
    <row r="459">
      <c r="A459" s="238" t="s">
        <v>67</v>
      </c>
      <c r="B459" s="239"/>
      <c r="C459" s="240"/>
      <c r="D459" s="241"/>
      <c r="E459" s="300"/>
      <c r="F459" s="227"/>
      <c r="G459" s="227"/>
      <c r="H459" s="253"/>
      <c r="I459" s="115"/>
      <c r="J459" s="244" t="s">
        <v>67</v>
      </c>
      <c r="K459" s="321">
        <f t="shared" si="24"/>
        <v>447</v>
      </c>
      <c r="L459" s="266"/>
      <c r="M459" s="267"/>
      <c r="N459" s="275"/>
      <c r="O459" s="269"/>
      <c r="P459" s="270"/>
      <c r="Q459" s="236" t="str">
        <f t="shared" si="23"/>
        <v/>
      </c>
      <c r="R459" s="273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</row>
    <row r="460">
      <c r="A460" s="238" t="s">
        <v>67</v>
      </c>
      <c r="B460" s="239"/>
      <c r="C460" s="240"/>
      <c r="D460" s="241"/>
      <c r="E460" s="300"/>
      <c r="F460" s="227"/>
      <c r="G460" s="227"/>
      <c r="H460" s="242"/>
      <c r="I460" s="115"/>
      <c r="J460" s="244" t="s">
        <v>67</v>
      </c>
      <c r="K460" s="321">
        <f t="shared" si="24"/>
        <v>448</v>
      </c>
      <c r="L460" s="266"/>
      <c r="M460" s="267"/>
      <c r="N460" s="275"/>
      <c r="O460" s="269"/>
      <c r="P460" s="270"/>
      <c r="Q460" s="236" t="str">
        <f t="shared" si="23"/>
        <v/>
      </c>
      <c r="R460" s="273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</row>
    <row r="461">
      <c r="A461" s="238" t="s">
        <v>67</v>
      </c>
      <c r="B461" s="239"/>
      <c r="C461" s="240"/>
      <c r="D461" s="241"/>
      <c r="E461" s="300"/>
      <c r="F461" s="227"/>
      <c r="G461" s="227"/>
      <c r="H461" s="253"/>
      <c r="I461" s="115"/>
      <c r="J461" s="244" t="s">
        <v>67</v>
      </c>
      <c r="K461" s="321">
        <f t="shared" si="24"/>
        <v>449</v>
      </c>
      <c r="L461" s="266"/>
      <c r="M461" s="267"/>
      <c r="N461" s="275"/>
      <c r="O461" s="269"/>
      <c r="P461" s="270"/>
      <c r="Q461" s="236" t="str">
        <f t="shared" si="23"/>
        <v/>
      </c>
      <c r="R461" s="273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</row>
    <row r="462">
      <c r="A462" s="238" t="s">
        <v>67</v>
      </c>
      <c r="B462" s="239"/>
      <c r="C462" s="240"/>
      <c r="D462" s="241"/>
      <c r="E462" s="300"/>
      <c r="F462" s="227"/>
      <c r="G462" s="227"/>
      <c r="H462" s="242"/>
      <c r="I462" s="115"/>
      <c r="J462" s="244" t="s">
        <v>67</v>
      </c>
      <c r="K462" s="321">
        <f t="shared" si="24"/>
        <v>450</v>
      </c>
      <c r="L462" s="266"/>
      <c r="M462" s="267"/>
      <c r="N462" s="274"/>
      <c r="O462" s="269"/>
      <c r="P462" s="235"/>
      <c r="Q462" s="236" t="str">
        <f t="shared" si="23"/>
        <v/>
      </c>
      <c r="R462" s="273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</row>
    <row r="463">
      <c r="A463" s="276" t="s">
        <v>67</v>
      </c>
      <c r="B463" s="306"/>
      <c r="C463" s="307"/>
      <c r="D463" s="308"/>
      <c r="E463" s="309"/>
      <c r="F463" s="277"/>
      <c r="G463" s="277"/>
      <c r="H463" s="278"/>
      <c r="I463" s="115"/>
      <c r="J463" s="279" t="s">
        <v>67</v>
      </c>
      <c r="K463" s="322">
        <f t="shared" si="24"/>
        <v>451</v>
      </c>
      <c r="L463" s="311"/>
      <c r="M463" s="280"/>
      <c r="N463" s="281"/>
      <c r="O463" s="282"/>
      <c r="P463" s="283"/>
      <c r="Q463" s="284" t="str">
        <f t="shared" si="23"/>
        <v/>
      </c>
      <c r="R463" s="28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</row>
    <row r="464">
      <c r="A464" s="115"/>
      <c r="B464" s="265"/>
      <c r="C464" s="115"/>
      <c r="D464" s="115"/>
      <c r="E464" s="115"/>
      <c r="F464" s="115"/>
      <c r="G464" s="115"/>
      <c r="H464" s="115"/>
      <c r="I464" s="115"/>
      <c r="J464" s="115"/>
      <c r="K464" s="316"/>
      <c r="L464" s="265"/>
      <c r="M464" s="115"/>
      <c r="N464" s="115"/>
      <c r="O464" s="290"/>
      <c r="P464" s="316"/>
      <c r="Q464" s="290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</row>
    <row r="465">
      <c r="A465" s="221" t="s">
        <v>68</v>
      </c>
      <c r="B465" s="222" t="s">
        <v>91</v>
      </c>
      <c r="C465" s="223">
        <v>44533.0</v>
      </c>
      <c r="D465" s="224" t="s">
        <v>146</v>
      </c>
      <c r="E465" s="292">
        <v>281.76</v>
      </c>
      <c r="F465" s="226" t="s">
        <v>14</v>
      </c>
      <c r="G465" s="226" t="s">
        <v>16</v>
      </c>
      <c r="H465" s="228"/>
      <c r="I465" s="115"/>
      <c r="J465" s="230" t="s">
        <v>68</v>
      </c>
      <c r="K465" s="293">
        <f>K463+1</f>
        <v>452</v>
      </c>
      <c r="L465" s="226" t="s">
        <v>122</v>
      </c>
      <c r="M465" s="294">
        <v>44531.0</v>
      </c>
      <c r="N465" s="295" t="s">
        <v>244</v>
      </c>
      <c r="O465" s="296">
        <v>81.88</v>
      </c>
      <c r="P465" s="297">
        <v>1.0</v>
      </c>
      <c r="Q465" s="298">
        <f t="shared" ref="Q465:Q505" si="25">IFERROR($O465/$P465,"")</f>
        <v>81.88</v>
      </c>
      <c r="R465" s="299" t="s">
        <v>20</v>
      </c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</row>
    <row r="466">
      <c r="A466" s="238" t="s">
        <v>68</v>
      </c>
      <c r="B466" s="239" t="s">
        <v>118</v>
      </c>
      <c r="C466" s="240">
        <v>44533.0</v>
      </c>
      <c r="D466" s="241" t="s">
        <v>135</v>
      </c>
      <c r="E466" s="300">
        <v>74.3</v>
      </c>
      <c r="F466" s="227" t="s">
        <v>14</v>
      </c>
      <c r="G466" s="227" t="s">
        <v>16</v>
      </c>
      <c r="H466" s="242"/>
      <c r="I466" s="115"/>
      <c r="J466" s="244" t="s">
        <v>68</v>
      </c>
      <c r="K466" s="245">
        <f t="shared" ref="K466:K505" si="26">K465+1</f>
        <v>453</v>
      </c>
      <c r="L466" s="246" t="s">
        <v>114</v>
      </c>
      <c r="M466" s="247">
        <v>44533.0</v>
      </c>
      <c r="N466" s="248" t="s">
        <v>248</v>
      </c>
      <c r="O466" s="249">
        <v>7.9</v>
      </c>
      <c r="P466" s="250">
        <v>1.0</v>
      </c>
      <c r="Q466" s="236">
        <f t="shared" si="25"/>
        <v>7.9</v>
      </c>
      <c r="R466" s="237" t="s">
        <v>20</v>
      </c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</row>
    <row r="467">
      <c r="A467" s="238" t="s">
        <v>68</v>
      </c>
      <c r="B467" s="239" t="s">
        <v>116</v>
      </c>
      <c r="C467" s="240">
        <v>44534.0</v>
      </c>
      <c r="D467" s="241" t="s">
        <v>231</v>
      </c>
      <c r="E467" s="300">
        <v>320.7</v>
      </c>
      <c r="F467" s="227" t="s">
        <v>14</v>
      </c>
      <c r="G467" s="227" t="s">
        <v>16</v>
      </c>
      <c r="H467" s="251" t="s">
        <v>17</v>
      </c>
      <c r="I467" s="115"/>
      <c r="J467" s="244" t="s">
        <v>68</v>
      </c>
      <c r="K467" s="245">
        <f t="shared" si="26"/>
        <v>454</v>
      </c>
      <c r="L467" s="246" t="s">
        <v>122</v>
      </c>
      <c r="M467" s="247">
        <v>44544.0</v>
      </c>
      <c r="N467" s="248" t="s">
        <v>244</v>
      </c>
      <c r="O467" s="249">
        <v>246.91</v>
      </c>
      <c r="P467" s="250">
        <v>1.0</v>
      </c>
      <c r="Q467" s="236">
        <f t="shared" si="25"/>
        <v>246.91</v>
      </c>
      <c r="R467" s="237" t="s">
        <v>20</v>
      </c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</row>
    <row r="468">
      <c r="A468" s="238" t="s">
        <v>68</v>
      </c>
      <c r="B468" s="239" t="s">
        <v>85</v>
      </c>
      <c r="C468" s="240">
        <v>44534.0</v>
      </c>
      <c r="D468" s="241" t="s">
        <v>249</v>
      </c>
      <c r="E468" s="300">
        <v>30.54</v>
      </c>
      <c r="F468" s="227" t="s">
        <v>14</v>
      </c>
      <c r="G468" s="227" t="s">
        <v>16</v>
      </c>
      <c r="H468" s="242"/>
      <c r="I468" s="115"/>
      <c r="J468" s="244" t="s">
        <v>68</v>
      </c>
      <c r="K468" s="245">
        <f t="shared" si="26"/>
        <v>455</v>
      </c>
      <c r="L468" s="246" t="s">
        <v>122</v>
      </c>
      <c r="M468" s="247">
        <v>44544.0</v>
      </c>
      <c r="N468" s="248" t="s">
        <v>243</v>
      </c>
      <c r="O468" s="249">
        <v>35.26</v>
      </c>
      <c r="P468" s="250">
        <v>1.0</v>
      </c>
      <c r="Q468" s="236">
        <f t="shared" si="25"/>
        <v>35.26</v>
      </c>
      <c r="R468" s="237" t="s">
        <v>20</v>
      </c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</row>
    <row r="469">
      <c r="A469" s="238" t="s">
        <v>68</v>
      </c>
      <c r="B469" s="239" t="s">
        <v>102</v>
      </c>
      <c r="C469" s="240">
        <v>44539.0</v>
      </c>
      <c r="D469" s="241" t="s">
        <v>316</v>
      </c>
      <c r="E469" s="300">
        <v>8.0</v>
      </c>
      <c r="F469" s="227" t="s">
        <v>24</v>
      </c>
      <c r="G469" s="227" t="s">
        <v>26</v>
      </c>
      <c r="H469" s="253"/>
      <c r="I469" s="115"/>
      <c r="J469" s="244" t="s">
        <v>68</v>
      </c>
      <c r="K469" s="317">
        <f t="shared" si="26"/>
        <v>456</v>
      </c>
      <c r="L469" s="246" t="s">
        <v>85</v>
      </c>
      <c r="M469" s="247">
        <v>44548.0</v>
      </c>
      <c r="N469" s="248" t="s">
        <v>317</v>
      </c>
      <c r="O469" s="249">
        <v>60.0</v>
      </c>
      <c r="P469" s="250">
        <v>1.0</v>
      </c>
      <c r="Q469" s="236">
        <f t="shared" si="25"/>
        <v>60</v>
      </c>
      <c r="R469" s="237" t="s">
        <v>14</v>
      </c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</row>
    <row r="470">
      <c r="A470" s="238" t="s">
        <v>68</v>
      </c>
      <c r="B470" s="239" t="s">
        <v>85</v>
      </c>
      <c r="C470" s="240">
        <v>44539.0</v>
      </c>
      <c r="D470" s="241" t="s">
        <v>318</v>
      </c>
      <c r="E470" s="300">
        <v>5.0</v>
      </c>
      <c r="F470" s="227" t="s">
        <v>14</v>
      </c>
      <c r="G470" s="227" t="s">
        <v>16</v>
      </c>
      <c r="H470" s="272"/>
      <c r="I470" s="115"/>
      <c r="J470" s="244" t="s">
        <v>68</v>
      </c>
      <c r="K470" s="317">
        <f t="shared" si="26"/>
        <v>457</v>
      </c>
      <c r="L470" s="246" t="s">
        <v>122</v>
      </c>
      <c r="M470" s="247">
        <v>44549.0</v>
      </c>
      <c r="N470" s="248" t="s">
        <v>20</v>
      </c>
      <c r="O470" s="249">
        <v>29.2</v>
      </c>
      <c r="P470" s="250">
        <v>1.0</v>
      </c>
      <c r="Q470" s="236">
        <f t="shared" si="25"/>
        <v>29.2</v>
      </c>
      <c r="R470" s="237" t="s">
        <v>20</v>
      </c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</row>
    <row r="471">
      <c r="A471" s="238" t="s">
        <v>68</v>
      </c>
      <c r="B471" s="239" t="s">
        <v>98</v>
      </c>
      <c r="C471" s="240">
        <v>44541.0</v>
      </c>
      <c r="D471" s="241" t="s">
        <v>319</v>
      </c>
      <c r="E471" s="300">
        <v>62.0</v>
      </c>
      <c r="F471" s="227" t="s">
        <v>14</v>
      </c>
      <c r="G471" s="227" t="s">
        <v>16</v>
      </c>
      <c r="H471" s="253"/>
      <c r="I471" s="115"/>
      <c r="J471" s="244" t="s">
        <v>68</v>
      </c>
      <c r="K471" s="317">
        <f t="shared" si="26"/>
        <v>458</v>
      </c>
      <c r="L471" s="246" t="s">
        <v>122</v>
      </c>
      <c r="M471" s="247">
        <v>44549.0</v>
      </c>
      <c r="N471" s="248" t="s">
        <v>20</v>
      </c>
      <c r="O471" s="249">
        <v>60.0</v>
      </c>
      <c r="P471" s="250">
        <v>1.0</v>
      </c>
      <c r="Q471" s="236">
        <f t="shared" si="25"/>
        <v>60</v>
      </c>
      <c r="R471" s="237" t="s">
        <v>20</v>
      </c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</row>
    <row r="472">
      <c r="A472" s="238" t="s">
        <v>68</v>
      </c>
      <c r="B472" s="239" t="s">
        <v>98</v>
      </c>
      <c r="C472" s="240">
        <v>44543.0</v>
      </c>
      <c r="D472" s="241" t="s">
        <v>289</v>
      </c>
      <c r="E472" s="300">
        <v>33.0</v>
      </c>
      <c r="F472" s="227" t="s">
        <v>14</v>
      </c>
      <c r="G472" s="227" t="s">
        <v>16</v>
      </c>
      <c r="H472" s="242"/>
      <c r="I472" s="115"/>
      <c r="J472" s="244" t="s">
        <v>68</v>
      </c>
      <c r="K472" s="317">
        <f t="shared" si="26"/>
        <v>459</v>
      </c>
      <c r="L472" s="246" t="s">
        <v>85</v>
      </c>
      <c r="M472" s="247">
        <v>44559.0</v>
      </c>
      <c r="N472" s="248" t="s">
        <v>238</v>
      </c>
      <c r="O472" s="249">
        <v>51.79</v>
      </c>
      <c r="P472" s="250">
        <v>1.0</v>
      </c>
      <c r="Q472" s="236">
        <f t="shared" si="25"/>
        <v>51.79</v>
      </c>
      <c r="R472" s="237" t="s">
        <v>27</v>
      </c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</row>
    <row r="473">
      <c r="A473" s="238" t="s">
        <v>68</v>
      </c>
      <c r="B473" s="239" t="s">
        <v>118</v>
      </c>
      <c r="C473" s="240">
        <v>44544.0</v>
      </c>
      <c r="D473" s="241" t="s">
        <v>262</v>
      </c>
      <c r="E473" s="300">
        <v>50.0</v>
      </c>
      <c r="F473" s="227" t="s">
        <v>14</v>
      </c>
      <c r="G473" s="227" t="s">
        <v>16</v>
      </c>
      <c r="H473" s="251"/>
      <c r="I473" s="115"/>
      <c r="J473" s="244" t="s">
        <v>68</v>
      </c>
      <c r="K473" s="317">
        <f t="shared" si="26"/>
        <v>460</v>
      </c>
      <c r="L473" s="246" t="s">
        <v>102</v>
      </c>
      <c r="M473" s="247">
        <v>44553.0</v>
      </c>
      <c r="N473" s="248" t="s">
        <v>133</v>
      </c>
      <c r="O473" s="249">
        <v>178.49</v>
      </c>
      <c r="P473" s="250">
        <v>1.0</v>
      </c>
      <c r="Q473" s="236">
        <f t="shared" si="25"/>
        <v>178.49</v>
      </c>
      <c r="R473" s="237" t="s">
        <v>27</v>
      </c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</row>
    <row r="474">
      <c r="A474" s="238" t="s">
        <v>68</v>
      </c>
      <c r="B474" s="239" t="s">
        <v>118</v>
      </c>
      <c r="C474" s="240">
        <v>44549.0</v>
      </c>
      <c r="D474" s="241" t="s">
        <v>301</v>
      </c>
      <c r="E474" s="300">
        <v>9.9</v>
      </c>
      <c r="F474" s="227" t="s">
        <v>14</v>
      </c>
      <c r="G474" s="227" t="s">
        <v>16</v>
      </c>
      <c r="H474" s="272"/>
      <c r="I474" s="115"/>
      <c r="J474" s="244" t="s">
        <v>68</v>
      </c>
      <c r="K474" s="317">
        <f t="shared" si="26"/>
        <v>461</v>
      </c>
      <c r="L474" s="256"/>
      <c r="M474" s="257"/>
      <c r="N474" s="258"/>
      <c r="O474" s="252"/>
      <c r="P474" s="259"/>
      <c r="Q474" s="236" t="str">
        <f t="shared" si="25"/>
        <v/>
      </c>
      <c r="R474" s="237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</row>
    <row r="475">
      <c r="A475" s="238" t="s">
        <v>68</v>
      </c>
      <c r="B475" s="239" t="s">
        <v>102</v>
      </c>
      <c r="C475" s="240">
        <v>44549.0</v>
      </c>
      <c r="D475" s="241" t="s">
        <v>133</v>
      </c>
      <c r="E475" s="300">
        <v>100.0</v>
      </c>
      <c r="F475" s="227" t="s">
        <v>24</v>
      </c>
      <c r="G475" s="227" t="s">
        <v>26</v>
      </c>
      <c r="H475" s="253"/>
      <c r="I475" s="115"/>
      <c r="J475" s="244" t="s">
        <v>68</v>
      </c>
      <c r="K475" s="317">
        <f t="shared" si="26"/>
        <v>462</v>
      </c>
      <c r="L475" s="256"/>
      <c r="M475" s="257"/>
      <c r="N475" s="258"/>
      <c r="O475" s="252"/>
      <c r="P475" s="259"/>
      <c r="Q475" s="236" t="str">
        <f t="shared" si="25"/>
        <v/>
      </c>
      <c r="R475" s="237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</row>
    <row r="476">
      <c r="A476" s="238" t="s">
        <v>68</v>
      </c>
      <c r="B476" s="239" t="s">
        <v>102</v>
      </c>
      <c r="C476" s="240">
        <v>44551.0</v>
      </c>
      <c r="D476" s="241" t="s">
        <v>133</v>
      </c>
      <c r="E476" s="300">
        <v>100.0</v>
      </c>
      <c r="F476" s="227" t="s">
        <v>14</v>
      </c>
      <c r="G476" s="227" t="s">
        <v>16</v>
      </c>
      <c r="H476" s="242"/>
      <c r="I476" s="115"/>
      <c r="J476" s="244" t="s">
        <v>68</v>
      </c>
      <c r="K476" s="317">
        <f t="shared" si="26"/>
        <v>463</v>
      </c>
      <c r="L476" s="256"/>
      <c r="M476" s="257"/>
      <c r="N476" s="258"/>
      <c r="O476" s="252"/>
      <c r="P476" s="259"/>
      <c r="Q476" s="236" t="str">
        <f t="shared" si="25"/>
        <v/>
      </c>
      <c r="R476" s="237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</row>
    <row r="477">
      <c r="A477" s="238" t="s">
        <v>68</v>
      </c>
      <c r="B477" s="239" t="s">
        <v>85</v>
      </c>
      <c r="C477" s="240">
        <v>44557.0</v>
      </c>
      <c r="D477" s="241" t="s">
        <v>320</v>
      </c>
      <c r="E477" s="300">
        <v>19.9</v>
      </c>
      <c r="F477" s="227" t="s">
        <v>14</v>
      </c>
      <c r="G477" s="227" t="s">
        <v>16</v>
      </c>
      <c r="H477" s="253"/>
      <c r="I477" s="115"/>
      <c r="J477" s="244" t="s">
        <v>68</v>
      </c>
      <c r="K477" s="317">
        <f t="shared" si="26"/>
        <v>464</v>
      </c>
      <c r="L477" s="256"/>
      <c r="M477" s="257"/>
      <c r="N477" s="258"/>
      <c r="O477" s="252"/>
      <c r="P477" s="259"/>
      <c r="Q477" s="236" t="str">
        <f t="shared" si="25"/>
        <v/>
      </c>
      <c r="R477" s="237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</row>
    <row r="478">
      <c r="A478" s="238" t="s">
        <v>68</v>
      </c>
      <c r="B478" s="239" t="s">
        <v>118</v>
      </c>
      <c r="C478" s="240">
        <v>44558.0</v>
      </c>
      <c r="D478" s="241" t="s">
        <v>321</v>
      </c>
      <c r="E478" s="300">
        <v>20.0</v>
      </c>
      <c r="F478" s="227" t="s">
        <v>14</v>
      </c>
      <c r="G478" s="227" t="s">
        <v>16</v>
      </c>
      <c r="H478" s="242"/>
      <c r="I478" s="115"/>
      <c r="J478" s="244" t="s">
        <v>68</v>
      </c>
      <c r="K478" s="317">
        <f t="shared" si="26"/>
        <v>465</v>
      </c>
      <c r="L478" s="256"/>
      <c r="M478" s="257"/>
      <c r="N478" s="258"/>
      <c r="O478" s="252"/>
      <c r="P478" s="259"/>
      <c r="Q478" s="236" t="str">
        <f t="shared" si="25"/>
        <v/>
      </c>
      <c r="R478" s="237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</row>
    <row r="479">
      <c r="A479" s="238" t="s">
        <v>68</v>
      </c>
      <c r="B479" s="239" t="s">
        <v>98</v>
      </c>
      <c r="C479" s="240">
        <v>44559.0</v>
      </c>
      <c r="D479" s="241" t="s">
        <v>289</v>
      </c>
      <c r="E479" s="300">
        <v>43.5</v>
      </c>
      <c r="F479" s="227" t="s">
        <v>14</v>
      </c>
      <c r="G479" s="227" t="s">
        <v>16</v>
      </c>
      <c r="H479" s="253"/>
      <c r="I479" s="115"/>
      <c r="J479" s="244" t="s">
        <v>68</v>
      </c>
      <c r="K479" s="317">
        <f t="shared" si="26"/>
        <v>466</v>
      </c>
      <c r="L479" s="256"/>
      <c r="M479" s="257"/>
      <c r="N479" s="258"/>
      <c r="O479" s="252"/>
      <c r="P479" s="259"/>
      <c r="Q479" s="236" t="str">
        <f t="shared" si="25"/>
        <v/>
      </c>
      <c r="R479" s="237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</row>
    <row r="480">
      <c r="A480" s="238" t="s">
        <v>68</v>
      </c>
      <c r="B480" s="239"/>
      <c r="C480" s="240"/>
      <c r="D480" s="241"/>
      <c r="E480" s="300"/>
      <c r="F480" s="227"/>
      <c r="G480" s="227"/>
      <c r="H480" s="242"/>
      <c r="I480" s="115"/>
      <c r="J480" s="244" t="s">
        <v>68</v>
      </c>
      <c r="K480" s="317">
        <f t="shared" si="26"/>
        <v>467</v>
      </c>
      <c r="L480" s="256"/>
      <c r="M480" s="257"/>
      <c r="N480" s="258"/>
      <c r="O480" s="252"/>
      <c r="P480" s="259"/>
      <c r="Q480" s="236" t="str">
        <f t="shared" si="25"/>
        <v/>
      </c>
      <c r="R480" s="237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</row>
    <row r="481">
      <c r="A481" s="238" t="s">
        <v>68</v>
      </c>
      <c r="B481" s="239"/>
      <c r="C481" s="240"/>
      <c r="D481" s="241"/>
      <c r="E481" s="300"/>
      <c r="F481" s="227"/>
      <c r="G481" s="227"/>
      <c r="H481" s="253"/>
      <c r="I481" s="115"/>
      <c r="J481" s="244" t="s">
        <v>68</v>
      </c>
      <c r="K481" s="317">
        <f t="shared" si="26"/>
        <v>468</v>
      </c>
      <c r="L481" s="256"/>
      <c r="M481" s="257"/>
      <c r="N481" s="258"/>
      <c r="O481" s="252"/>
      <c r="P481" s="259"/>
      <c r="Q481" s="236" t="str">
        <f t="shared" si="25"/>
        <v/>
      </c>
      <c r="R481" s="237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</row>
    <row r="482">
      <c r="A482" s="238" t="s">
        <v>68</v>
      </c>
      <c r="B482" s="239"/>
      <c r="C482" s="240"/>
      <c r="D482" s="241"/>
      <c r="E482" s="300"/>
      <c r="F482" s="227"/>
      <c r="G482" s="304"/>
      <c r="H482" s="242"/>
      <c r="I482" s="115"/>
      <c r="J482" s="244" t="s">
        <v>68</v>
      </c>
      <c r="K482" s="317">
        <f t="shared" si="26"/>
        <v>469</v>
      </c>
      <c r="L482" s="256"/>
      <c r="M482" s="257"/>
      <c r="N482" s="258"/>
      <c r="O482" s="252"/>
      <c r="P482" s="259"/>
      <c r="Q482" s="236" t="str">
        <f t="shared" si="25"/>
        <v/>
      </c>
      <c r="R482" s="237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</row>
    <row r="483">
      <c r="A483" s="238" t="s">
        <v>68</v>
      </c>
      <c r="B483" s="239"/>
      <c r="C483" s="240"/>
      <c r="D483" s="241"/>
      <c r="E483" s="300"/>
      <c r="F483" s="227"/>
      <c r="G483" s="304"/>
      <c r="H483" s="253"/>
      <c r="I483" s="115"/>
      <c r="J483" s="244" t="s">
        <v>68</v>
      </c>
      <c r="K483" s="317">
        <f t="shared" si="26"/>
        <v>470</v>
      </c>
      <c r="L483" s="256"/>
      <c r="M483" s="257"/>
      <c r="N483" s="258"/>
      <c r="O483" s="252"/>
      <c r="P483" s="259"/>
      <c r="Q483" s="236" t="str">
        <f t="shared" si="25"/>
        <v/>
      </c>
      <c r="R483" s="237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</row>
    <row r="484">
      <c r="A484" s="238" t="s">
        <v>68</v>
      </c>
      <c r="B484" s="239"/>
      <c r="C484" s="240"/>
      <c r="D484" s="241"/>
      <c r="E484" s="300"/>
      <c r="F484" s="227"/>
      <c r="G484" s="304"/>
      <c r="H484" s="242"/>
      <c r="I484" s="115"/>
      <c r="J484" s="244" t="s">
        <v>68</v>
      </c>
      <c r="K484" s="317">
        <f t="shared" si="26"/>
        <v>471</v>
      </c>
      <c r="L484" s="256"/>
      <c r="M484" s="257"/>
      <c r="N484" s="258"/>
      <c r="O484" s="252"/>
      <c r="P484" s="259"/>
      <c r="Q484" s="236" t="str">
        <f t="shared" si="25"/>
        <v/>
      </c>
      <c r="R484" s="237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</row>
    <row r="485">
      <c r="A485" s="238" t="s">
        <v>68</v>
      </c>
      <c r="B485" s="239"/>
      <c r="C485" s="240"/>
      <c r="D485" s="241"/>
      <c r="E485" s="300"/>
      <c r="F485" s="227"/>
      <c r="G485" s="304"/>
      <c r="H485" s="253"/>
      <c r="I485" s="115"/>
      <c r="J485" s="244" t="s">
        <v>68</v>
      </c>
      <c r="K485" s="317">
        <f t="shared" si="26"/>
        <v>472</v>
      </c>
      <c r="L485" s="256"/>
      <c r="M485" s="257"/>
      <c r="N485" s="258"/>
      <c r="O485" s="252"/>
      <c r="P485" s="259"/>
      <c r="Q485" s="236" t="str">
        <f t="shared" si="25"/>
        <v/>
      </c>
      <c r="R485" s="237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</row>
    <row r="486">
      <c r="A486" s="238" t="s">
        <v>68</v>
      </c>
      <c r="B486" s="239"/>
      <c r="C486" s="240"/>
      <c r="D486" s="241"/>
      <c r="E486" s="300"/>
      <c r="F486" s="227"/>
      <c r="G486" s="304"/>
      <c r="H486" s="242"/>
      <c r="I486" s="115"/>
      <c r="J486" s="244" t="s">
        <v>68</v>
      </c>
      <c r="K486" s="317">
        <f t="shared" si="26"/>
        <v>473</v>
      </c>
      <c r="L486" s="256"/>
      <c r="M486" s="257"/>
      <c r="N486" s="258"/>
      <c r="O486" s="252"/>
      <c r="P486" s="259"/>
      <c r="Q486" s="236" t="str">
        <f t="shared" si="25"/>
        <v/>
      </c>
      <c r="R486" s="237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</row>
    <row r="487">
      <c r="A487" s="238" t="s">
        <v>68</v>
      </c>
      <c r="B487" s="239"/>
      <c r="C487" s="240"/>
      <c r="D487" s="241"/>
      <c r="E487" s="300"/>
      <c r="F487" s="227"/>
      <c r="G487" s="304"/>
      <c r="H487" s="253"/>
      <c r="I487" s="115"/>
      <c r="J487" s="244" t="s">
        <v>68</v>
      </c>
      <c r="K487" s="317">
        <f t="shared" si="26"/>
        <v>474</v>
      </c>
      <c r="L487" s="256"/>
      <c r="M487" s="257"/>
      <c r="N487" s="258"/>
      <c r="O487" s="252"/>
      <c r="P487" s="259"/>
      <c r="Q487" s="236" t="str">
        <f t="shared" si="25"/>
        <v/>
      </c>
      <c r="R487" s="237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</row>
    <row r="488">
      <c r="A488" s="238" t="s">
        <v>68</v>
      </c>
      <c r="B488" s="239"/>
      <c r="C488" s="240"/>
      <c r="D488" s="241"/>
      <c r="E488" s="300"/>
      <c r="F488" s="227"/>
      <c r="G488" s="304"/>
      <c r="H488" s="242"/>
      <c r="I488" s="115"/>
      <c r="J488" s="244" t="s">
        <v>68</v>
      </c>
      <c r="K488" s="317">
        <f t="shared" si="26"/>
        <v>475</v>
      </c>
      <c r="L488" s="256"/>
      <c r="M488" s="257"/>
      <c r="N488" s="258"/>
      <c r="O488" s="252"/>
      <c r="P488" s="259"/>
      <c r="Q488" s="236" t="str">
        <f t="shared" si="25"/>
        <v/>
      </c>
      <c r="R488" s="237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</row>
    <row r="489">
      <c r="A489" s="238" t="s">
        <v>68</v>
      </c>
      <c r="B489" s="239"/>
      <c r="C489" s="240"/>
      <c r="D489" s="241"/>
      <c r="E489" s="300"/>
      <c r="F489" s="227"/>
      <c r="G489" s="227"/>
      <c r="H489" s="253"/>
      <c r="I489" s="115"/>
      <c r="J489" s="244" t="s">
        <v>68</v>
      </c>
      <c r="K489" s="321">
        <f t="shared" si="26"/>
        <v>476</v>
      </c>
      <c r="L489" s="266"/>
      <c r="M489" s="267"/>
      <c r="N489" s="268"/>
      <c r="O489" s="269"/>
      <c r="P489" s="270"/>
      <c r="Q489" s="236" t="str">
        <f t="shared" si="25"/>
        <v/>
      </c>
      <c r="R489" s="237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</row>
    <row r="490">
      <c r="A490" s="238" t="s">
        <v>68</v>
      </c>
      <c r="B490" s="239"/>
      <c r="C490" s="240"/>
      <c r="D490" s="241"/>
      <c r="E490" s="300"/>
      <c r="F490" s="227"/>
      <c r="G490" s="227"/>
      <c r="H490" s="242"/>
      <c r="I490" s="115"/>
      <c r="J490" s="244" t="s">
        <v>68</v>
      </c>
      <c r="K490" s="321">
        <f t="shared" si="26"/>
        <v>477</v>
      </c>
      <c r="L490" s="266"/>
      <c r="M490" s="267"/>
      <c r="N490" s="268"/>
      <c r="O490" s="269"/>
      <c r="P490" s="270"/>
      <c r="Q490" s="236" t="str">
        <f t="shared" si="25"/>
        <v/>
      </c>
      <c r="R490" s="237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</row>
    <row r="491">
      <c r="A491" s="238" t="s">
        <v>68</v>
      </c>
      <c r="B491" s="239"/>
      <c r="C491" s="240"/>
      <c r="D491" s="241"/>
      <c r="E491" s="300"/>
      <c r="F491" s="227"/>
      <c r="G491" s="227"/>
      <c r="H491" s="253"/>
      <c r="I491" s="115"/>
      <c r="J491" s="244" t="s">
        <v>68</v>
      </c>
      <c r="K491" s="321">
        <f t="shared" si="26"/>
        <v>478</v>
      </c>
      <c r="L491" s="266"/>
      <c r="M491" s="267"/>
      <c r="N491" s="268"/>
      <c r="O491" s="269"/>
      <c r="P491" s="270"/>
      <c r="Q491" s="236" t="str">
        <f t="shared" si="25"/>
        <v/>
      </c>
      <c r="R491" s="237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</row>
    <row r="492">
      <c r="A492" s="238" t="s">
        <v>68</v>
      </c>
      <c r="B492" s="239"/>
      <c r="C492" s="240"/>
      <c r="D492" s="241"/>
      <c r="E492" s="300"/>
      <c r="F492" s="227"/>
      <c r="G492" s="227"/>
      <c r="H492" s="242"/>
      <c r="I492" s="115"/>
      <c r="J492" s="244" t="s">
        <v>68</v>
      </c>
      <c r="K492" s="321">
        <f t="shared" si="26"/>
        <v>479</v>
      </c>
      <c r="L492" s="266"/>
      <c r="M492" s="267"/>
      <c r="N492" s="268"/>
      <c r="O492" s="269"/>
      <c r="P492" s="270"/>
      <c r="Q492" s="236" t="str">
        <f t="shared" si="25"/>
        <v/>
      </c>
      <c r="R492" s="237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</row>
    <row r="493">
      <c r="A493" s="238" t="s">
        <v>68</v>
      </c>
      <c r="B493" s="239"/>
      <c r="C493" s="240"/>
      <c r="D493" s="241"/>
      <c r="E493" s="300"/>
      <c r="F493" s="227"/>
      <c r="G493" s="227"/>
      <c r="H493" s="253"/>
      <c r="I493" s="115"/>
      <c r="J493" s="244" t="s">
        <v>68</v>
      </c>
      <c r="K493" s="321">
        <f t="shared" si="26"/>
        <v>480</v>
      </c>
      <c r="L493" s="266"/>
      <c r="M493" s="267"/>
      <c r="N493" s="268"/>
      <c r="O493" s="269"/>
      <c r="P493" s="270"/>
      <c r="Q493" s="236" t="str">
        <f t="shared" si="25"/>
        <v/>
      </c>
      <c r="R493" s="237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</row>
    <row r="494">
      <c r="A494" s="238" t="s">
        <v>68</v>
      </c>
      <c r="B494" s="239"/>
      <c r="C494" s="240"/>
      <c r="D494" s="241"/>
      <c r="E494" s="300"/>
      <c r="F494" s="227"/>
      <c r="G494" s="227"/>
      <c r="H494" s="242"/>
      <c r="I494" s="115"/>
      <c r="J494" s="244" t="s">
        <v>68</v>
      </c>
      <c r="K494" s="321">
        <f t="shared" si="26"/>
        <v>481</v>
      </c>
      <c r="L494" s="266"/>
      <c r="M494" s="267"/>
      <c r="N494" s="268"/>
      <c r="O494" s="269"/>
      <c r="P494" s="270"/>
      <c r="Q494" s="236" t="str">
        <f t="shared" si="25"/>
        <v/>
      </c>
      <c r="R494" s="237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</row>
    <row r="495">
      <c r="A495" s="238" t="s">
        <v>68</v>
      </c>
      <c r="B495" s="239"/>
      <c r="C495" s="240"/>
      <c r="D495" s="241"/>
      <c r="E495" s="300"/>
      <c r="F495" s="227"/>
      <c r="G495" s="227"/>
      <c r="H495" s="253"/>
      <c r="I495" s="115"/>
      <c r="J495" s="244" t="s">
        <v>68</v>
      </c>
      <c r="K495" s="321">
        <f t="shared" si="26"/>
        <v>482</v>
      </c>
      <c r="L495" s="266"/>
      <c r="M495" s="267"/>
      <c r="N495" s="268"/>
      <c r="O495" s="269"/>
      <c r="P495" s="270"/>
      <c r="Q495" s="236" t="str">
        <f t="shared" si="25"/>
        <v/>
      </c>
      <c r="R495" s="273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</row>
    <row r="496">
      <c r="A496" s="238" t="s">
        <v>68</v>
      </c>
      <c r="B496" s="239"/>
      <c r="C496" s="240"/>
      <c r="D496" s="241"/>
      <c r="E496" s="300"/>
      <c r="F496" s="227"/>
      <c r="G496" s="227"/>
      <c r="H496" s="242"/>
      <c r="I496" s="115"/>
      <c r="J496" s="244" t="s">
        <v>68</v>
      </c>
      <c r="K496" s="321">
        <f t="shared" si="26"/>
        <v>483</v>
      </c>
      <c r="L496" s="266"/>
      <c r="M496" s="267"/>
      <c r="N496" s="227"/>
      <c r="O496" s="234"/>
      <c r="P496" s="235"/>
      <c r="Q496" s="236" t="str">
        <f t="shared" si="25"/>
        <v/>
      </c>
      <c r="R496" s="273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</row>
    <row r="497">
      <c r="A497" s="238" t="s">
        <v>68</v>
      </c>
      <c r="B497" s="239"/>
      <c r="C497" s="240"/>
      <c r="D497" s="241"/>
      <c r="E497" s="300"/>
      <c r="F497" s="227"/>
      <c r="G497" s="227"/>
      <c r="H497" s="253"/>
      <c r="I497" s="115"/>
      <c r="J497" s="244" t="s">
        <v>68</v>
      </c>
      <c r="K497" s="321">
        <f t="shared" si="26"/>
        <v>484</v>
      </c>
      <c r="L497" s="266"/>
      <c r="M497" s="267"/>
      <c r="N497" s="227"/>
      <c r="O497" s="234"/>
      <c r="P497" s="235"/>
      <c r="Q497" s="236" t="str">
        <f t="shared" si="25"/>
        <v/>
      </c>
      <c r="R497" s="273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</row>
    <row r="498">
      <c r="A498" s="238" t="s">
        <v>68</v>
      </c>
      <c r="B498" s="239"/>
      <c r="C498" s="240"/>
      <c r="D498" s="241"/>
      <c r="E498" s="300"/>
      <c r="F498" s="227"/>
      <c r="G498" s="227"/>
      <c r="H498" s="242"/>
      <c r="I498" s="115"/>
      <c r="J498" s="244" t="s">
        <v>68</v>
      </c>
      <c r="K498" s="321">
        <f t="shared" si="26"/>
        <v>485</v>
      </c>
      <c r="L498" s="266"/>
      <c r="M498" s="267"/>
      <c r="N498" s="274"/>
      <c r="O498" s="234"/>
      <c r="P498" s="235"/>
      <c r="Q498" s="236" t="str">
        <f t="shared" si="25"/>
        <v/>
      </c>
      <c r="R498" s="273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</row>
    <row r="499">
      <c r="A499" s="238" t="s">
        <v>68</v>
      </c>
      <c r="B499" s="239"/>
      <c r="C499" s="240"/>
      <c r="D499" s="241"/>
      <c r="E499" s="300"/>
      <c r="F499" s="227"/>
      <c r="G499" s="227"/>
      <c r="H499" s="253"/>
      <c r="I499" s="115"/>
      <c r="J499" s="244" t="s">
        <v>68</v>
      </c>
      <c r="K499" s="321">
        <f t="shared" si="26"/>
        <v>486</v>
      </c>
      <c r="L499" s="266"/>
      <c r="M499" s="267"/>
      <c r="N499" s="274"/>
      <c r="O499" s="234"/>
      <c r="P499" s="235"/>
      <c r="Q499" s="236" t="str">
        <f t="shared" si="25"/>
        <v/>
      </c>
      <c r="R499" s="273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</row>
    <row r="500">
      <c r="A500" s="238" t="s">
        <v>68</v>
      </c>
      <c r="B500" s="239"/>
      <c r="C500" s="240"/>
      <c r="D500" s="241"/>
      <c r="E500" s="300"/>
      <c r="F500" s="227"/>
      <c r="G500" s="227"/>
      <c r="H500" s="242"/>
      <c r="I500" s="115"/>
      <c r="J500" s="244" t="s">
        <v>68</v>
      </c>
      <c r="K500" s="321">
        <f t="shared" si="26"/>
        <v>487</v>
      </c>
      <c r="L500" s="266"/>
      <c r="M500" s="267"/>
      <c r="N500" s="274"/>
      <c r="O500" s="234"/>
      <c r="P500" s="235"/>
      <c r="Q500" s="236" t="str">
        <f t="shared" si="25"/>
        <v/>
      </c>
      <c r="R500" s="273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</row>
    <row r="501">
      <c r="A501" s="238" t="s">
        <v>68</v>
      </c>
      <c r="B501" s="239"/>
      <c r="C501" s="240"/>
      <c r="D501" s="241"/>
      <c r="E501" s="300"/>
      <c r="F501" s="227"/>
      <c r="G501" s="227"/>
      <c r="H501" s="253"/>
      <c r="I501" s="115"/>
      <c r="J501" s="244" t="s">
        <v>68</v>
      </c>
      <c r="K501" s="321">
        <f t="shared" si="26"/>
        <v>488</v>
      </c>
      <c r="L501" s="266"/>
      <c r="M501" s="267"/>
      <c r="N501" s="275"/>
      <c r="O501" s="269"/>
      <c r="P501" s="270"/>
      <c r="Q501" s="236" t="str">
        <f t="shared" si="25"/>
        <v/>
      </c>
      <c r="R501" s="273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</row>
    <row r="502">
      <c r="A502" s="238" t="s">
        <v>68</v>
      </c>
      <c r="B502" s="239"/>
      <c r="C502" s="240"/>
      <c r="D502" s="241"/>
      <c r="E502" s="300"/>
      <c r="F502" s="227"/>
      <c r="G502" s="227"/>
      <c r="H502" s="242"/>
      <c r="I502" s="115"/>
      <c r="J502" s="244" t="s">
        <v>68</v>
      </c>
      <c r="K502" s="321">
        <f t="shared" si="26"/>
        <v>489</v>
      </c>
      <c r="L502" s="266"/>
      <c r="M502" s="267"/>
      <c r="N502" s="275"/>
      <c r="O502" s="269"/>
      <c r="P502" s="270"/>
      <c r="Q502" s="236" t="str">
        <f t="shared" si="25"/>
        <v/>
      </c>
      <c r="R502" s="273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</row>
    <row r="503">
      <c r="A503" s="238" t="s">
        <v>68</v>
      </c>
      <c r="B503" s="239"/>
      <c r="C503" s="240"/>
      <c r="D503" s="241"/>
      <c r="E503" s="300"/>
      <c r="F503" s="227"/>
      <c r="G503" s="227"/>
      <c r="H503" s="253"/>
      <c r="I503" s="115"/>
      <c r="J503" s="244" t="s">
        <v>68</v>
      </c>
      <c r="K503" s="321">
        <f t="shared" si="26"/>
        <v>490</v>
      </c>
      <c r="L503" s="266"/>
      <c r="M503" s="267"/>
      <c r="N503" s="275"/>
      <c r="O503" s="269"/>
      <c r="P503" s="270"/>
      <c r="Q503" s="236" t="str">
        <f t="shared" si="25"/>
        <v/>
      </c>
      <c r="R503" s="273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</row>
    <row r="504">
      <c r="A504" s="238" t="s">
        <v>68</v>
      </c>
      <c r="B504" s="239"/>
      <c r="C504" s="240"/>
      <c r="D504" s="241"/>
      <c r="E504" s="300"/>
      <c r="F504" s="227"/>
      <c r="G504" s="227"/>
      <c r="H504" s="242"/>
      <c r="I504" s="115"/>
      <c r="J504" s="244" t="s">
        <v>68</v>
      </c>
      <c r="K504" s="321">
        <f t="shared" si="26"/>
        <v>491</v>
      </c>
      <c r="L504" s="266"/>
      <c r="M504" s="267"/>
      <c r="N504" s="274"/>
      <c r="O504" s="269"/>
      <c r="P504" s="235"/>
      <c r="Q504" s="236" t="str">
        <f t="shared" si="25"/>
        <v/>
      </c>
      <c r="R504" s="273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</row>
    <row r="505">
      <c r="A505" s="276" t="s">
        <v>68</v>
      </c>
      <c r="B505" s="306"/>
      <c r="C505" s="307"/>
      <c r="D505" s="308"/>
      <c r="E505" s="309"/>
      <c r="F505" s="277"/>
      <c r="G505" s="277"/>
      <c r="H505" s="278"/>
      <c r="I505" s="115"/>
      <c r="J505" s="279" t="s">
        <v>68</v>
      </c>
      <c r="K505" s="322">
        <f t="shared" si="26"/>
        <v>492</v>
      </c>
      <c r="L505" s="311"/>
      <c r="M505" s="280"/>
      <c r="N505" s="281"/>
      <c r="O505" s="282"/>
      <c r="P505" s="283"/>
      <c r="Q505" s="284" t="str">
        <f t="shared" si="25"/>
        <v/>
      </c>
      <c r="R505" s="28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</row>
    <row r="506">
      <c r="A506" s="115"/>
      <c r="B506" s="265"/>
      <c r="C506" s="115"/>
      <c r="D506" s="115"/>
      <c r="E506" s="115"/>
      <c r="F506" s="115"/>
      <c r="G506" s="115"/>
      <c r="H506" s="115"/>
      <c r="I506" s="115"/>
      <c r="J506" s="115"/>
      <c r="K506" s="316"/>
      <c r="L506" s="265"/>
      <c r="M506" s="115"/>
      <c r="N506" s="115"/>
      <c r="O506" s="290"/>
      <c r="P506" s="316"/>
      <c r="Q506" s="290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</row>
    <row r="507">
      <c r="A507" s="115"/>
      <c r="B507" s="265"/>
      <c r="C507" s="115"/>
      <c r="D507" s="115"/>
      <c r="E507" s="115"/>
      <c r="F507" s="115"/>
      <c r="G507" s="115"/>
      <c r="H507" s="115"/>
      <c r="I507" s="115"/>
      <c r="J507" s="115"/>
      <c r="K507" s="316"/>
      <c r="L507" s="265"/>
      <c r="M507" s="115"/>
      <c r="N507" s="115"/>
      <c r="O507" s="290"/>
      <c r="P507" s="316"/>
      <c r="Q507" s="290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</row>
    <row r="508">
      <c r="A508" s="115"/>
      <c r="B508" s="265"/>
      <c r="C508" s="115"/>
      <c r="D508" s="115"/>
      <c r="E508" s="115"/>
      <c r="F508" s="115"/>
      <c r="G508" s="115"/>
      <c r="H508" s="115"/>
      <c r="I508" s="115"/>
      <c r="J508" s="115"/>
      <c r="K508" s="316"/>
      <c r="L508" s="265"/>
      <c r="M508" s="115"/>
      <c r="N508" s="115"/>
      <c r="O508" s="290"/>
      <c r="P508" s="316"/>
      <c r="Q508" s="290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</row>
    <row r="509">
      <c r="A509" s="115"/>
      <c r="B509" s="265"/>
      <c r="C509" s="115"/>
      <c r="D509" s="115"/>
      <c r="E509" s="115"/>
      <c r="F509" s="115"/>
      <c r="G509" s="115"/>
      <c r="H509" s="115"/>
      <c r="I509" s="115"/>
      <c r="J509" s="115"/>
      <c r="K509" s="316"/>
      <c r="L509" s="265"/>
      <c r="M509" s="115"/>
      <c r="N509" s="115"/>
      <c r="O509" s="290"/>
      <c r="P509" s="316"/>
      <c r="Q509" s="290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</row>
    <row r="510">
      <c r="A510" s="115"/>
      <c r="B510" s="265"/>
      <c r="C510" s="115"/>
      <c r="D510" s="115"/>
      <c r="E510" s="115"/>
      <c r="F510" s="115"/>
      <c r="G510" s="115"/>
      <c r="H510" s="115"/>
      <c r="I510" s="115"/>
      <c r="J510" s="115"/>
      <c r="K510" s="316"/>
      <c r="L510" s="265"/>
      <c r="M510" s="115"/>
      <c r="N510" s="115"/>
      <c r="O510" s="290"/>
      <c r="P510" s="316"/>
      <c r="Q510" s="290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</row>
    <row r="511">
      <c r="A511" s="115"/>
      <c r="B511" s="265"/>
      <c r="C511" s="115"/>
      <c r="D511" s="115"/>
      <c r="E511" s="115"/>
      <c r="F511" s="115"/>
      <c r="G511" s="115"/>
      <c r="H511" s="115"/>
      <c r="I511" s="115"/>
      <c r="J511" s="115"/>
      <c r="K511" s="316"/>
      <c r="L511" s="265"/>
      <c r="M511" s="115"/>
      <c r="N511" s="115"/>
      <c r="O511" s="290"/>
      <c r="P511" s="316"/>
      <c r="Q511" s="290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</row>
    <row r="512">
      <c r="A512" s="115"/>
      <c r="B512" s="265"/>
      <c r="C512" s="115"/>
      <c r="D512" s="115"/>
      <c r="E512" s="115"/>
      <c r="F512" s="115"/>
      <c r="G512" s="115"/>
      <c r="H512" s="115"/>
      <c r="I512" s="115"/>
      <c r="J512" s="115"/>
      <c r="K512" s="316"/>
      <c r="L512" s="265"/>
      <c r="M512" s="115"/>
      <c r="N512" s="115"/>
      <c r="O512" s="290"/>
      <c r="P512" s="316"/>
      <c r="Q512" s="290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</row>
    <row r="513">
      <c r="A513" s="115"/>
      <c r="B513" s="265"/>
      <c r="C513" s="115"/>
      <c r="D513" s="115"/>
      <c r="E513" s="115"/>
      <c r="F513" s="115"/>
      <c r="G513" s="115"/>
      <c r="H513" s="115"/>
      <c r="I513" s="115"/>
      <c r="J513" s="115"/>
      <c r="K513" s="316"/>
      <c r="L513" s="265"/>
      <c r="M513" s="115"/>
      <c r="N513" s="115"/>
      <c r="O513" s="290"/>
      <c r="P513" s="316"/>
      <c r="Q513" s="290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</row>
    <row r="514">
      <c r="A514" s="115"/>
      <c r="B514" s="265"/>
      <c r="C514" s="115"/>
      <c r="D514" s="115"/>
      <c r="E514" s="115"/>
      <c r="F514" s="115"/>
      <c r="G514" s="115"/>
      <c r="H514" s="115"/>
      <c r="I514" s="115"/>
      <c r="J514" s="115"/>
      <c r="K514" s="316"/>
      <c r="L514" s="265"/>
      <c r="M514" s="115"/>
      <c r="N514" s="115"/>
      <c r="O514" s="290"/>
      <c r="P514" s="316"/>
      <c r="Q514" s="290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</row>
    <row r="515">
      <c r="A515" s="115"/>
      <c r="B515" s="265"/>
      <c r="C515" s="115"/>
      <c r="D515" s="115"/>
      <c r="E515" s="115"/>
      <c r="F515" s="115"/>
      <c r="G515" s="115"/>
      <c r="H515" s="115"/>
      <c r="I515" s="115"/>
      <c r="J515" s="115"/>
      <c r="K515" s="316"/>
      <c r="L515" s="265"/>
      <c r="M515" s="115"/>
      <c r="N515" s="115"/>
      <c r="O515" s="290"/>
      <c r="P515" s="316"/>
      <c r="Q515" s="290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</row>
    <row r="516">
      <c r="A516" s="115"/>
      <c r="B516" s="265"/>
      <c r="C516" s="115"/>
      <c r="D516" s="115"/>
      <c r="E516" s="115"/>
      <c r="F516" s="115"/>
      <c r="G516" s="115"/>
      <c r="H516" s="115"/>
      <c r="I516" s="115"/>
      <c r="J516" s="115"/>
      <c r="K516" s="316"/>
      <c r="L516" s="265"/>
      <c r="M516" s="115"/>
      <c r="N516" s="115"/>
      <c r="O516" s="290"/>
      <c r="P516" s="316"/>
      <c r="Q516" s="290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</row>
    <row r="517">
      <c r="A517" s="115"/>
      <c r="B517" s="265"/>
      <c r="C517" s="115"/>
      <c r="D517" s="115"/>
      <c r="E517" s="115"/>
      <c r="F517" s="115"/>
      <c r="G517" s="115"/>
      <c r="H517" s="115"/>
      <c r="I517" s="115"/>
      <c r="J517" s="115"/>
      <c r="K517" s="316"/>
      <c r="L517" s="265"/>
      <c r="M517" s="115"/>
      <c r="N517" s="115"/>
      <c r="O517" s="290"/>
      <c r="P517" s="316"/>
      <c r="Q517" s="290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</row>
    <row r="518">
      <c r="A518" s="115"/>
      <c r="B518" s="265"/>
      <c r="C518" s="115"/>
      <c r="D518" s="115"/>
      <c r="E518" s="115"/>
      <c r="F518" s="115"/>
      <c r="G518" s="115"/>
      <c r="H518" s="115"/>
      <c r="I518" s="115"/>
      <c r="J518" s="115"/>
      <c r="K518" s="316"/>
      <c r="L518" s="265"/>
      <c r="M518" s="115"/>
      <c r="N518" s="115"/>
      <c r="O518" s="290"/>
      <c r="P518" s="316"/>
      <c r="Q518" s="290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</row>
    <row r="519">
      <c r="A519" s="115"/>
      <c r="B519" s="265"/>
      <c r="C519" s="115"/>
      <c r="D519" s="115"/>
      <c r="E519" s="115"/>
      <c r="F519" s="115"/>
      <c r="G519" s="115"/>
      <c r="H519" s="115"/>
      <c r="I519" s="115"/>
      <c r="J519" s="115"/>
      <c r="K519" s="316"/>
      <c r="L519" s="265"/>
      <c r="M519" s="115"/>
      <c r="N519" s="115"/>
      <c r="O519" s="290"/>
      <c r="P519" s="316"/>
      <c r="Q519" s="290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</row>
    <row r="520">
      <c r="A520" s="115"/>
      <c r="B520" s="265"/>
      <c r="C520" s="115"/>
      <c r="D520" s="115"/>
      <c r="E520" s="115"/>
      <c r="F520" s="115"/>
      <c r="G520" s="115"/>
      <c r="H520" s="115"/>
      <c r="I520" s="115"/>
      <c r="J520" s="115"/>
      <c r="K520" s="316"/>
      <c r="L520" s="265"/>
      <c r="M520" s="115"/>
      <c r="N520" s="115"/>
      <c r="O520" s="290"/>
      <c r="P520" s="316"/>
      <c r="Q520" s="290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</row>
    <row r="521">
      <c r="A521" s="115"/>
      <c r="B521" s="265"/>
      <c r="C521" s="115"/>
      <c r="D521" s="115"/>
      <c r="E521" s="115"/>
      <c r="F521" s="115"/>
      <c r="G521" s="115"/>
      <c r="H521" s="115"/>
      <c r="I521" s="115"/>
      <c r="J521" s="115"/>
      <c r="K521" s="316"/>
      <c r="L521" s="265"/>
      <c r="M521" s="115"/>
      <c r="N521" s="115"/>
      <c r="O521" s="290"/>
      <c r="P521" s="316"/>
      <c r="Q521" s="290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</row>
    <row r="522">
      <c r="A522" s="115"/>
      <c r="B522" s="265"/>
      <c r="C522" s="115"/>
      <c r="D522" s="115"/>
      <c r="E522" s="115"/>
      <c r="F522" s="115"/>
      <c r="G522" s="115"/>
      <c r="H522" s="115"/>
      <c r="I522" s="115"/>
      <c r="J522" s="115"/>
      <c r="K522" s="316"/>
      <c r="L522" s="265"/>
      <c r="M522" s="115"/>
      <c r="N522" s="115"/>
      <c r="O522" s="290"/>
      <c r="P522" s="316"/>
      <c r="Q522" s="290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</row>
    <row r="523">
      <c r="A523" s="115"/>
      <c r="B523" s="265"/>
      <c r="C523" s="115"/>
      <c r="D523" s="115"/>
      <c r="E523" s="115"/>
      <c r="F523" s="115"/>
      <c r="G523" s="115"/>
      <c r="H523" s="115"/>
      <c r="I523" s="115"/>
      <c r="J523" s="115"/>
      <c r="K523" s="316"/>
      <c r="L523" s="265"/>
      <c r="M523" s="115"/>
      <c r="N523" s="115"/>
      <c r="O523" s="290"/>
      <c r="P523" s="316"/>
      <c r="Q523" s="290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</row>
    <row r="524">
      <c r="A524" s="115"/>
      <c r="B524" s="265"/>
      <c r="C524" s="115"/>
      <c r="D524" s="115"/>
      <c r="E524" s="115"/>
      <c r="F524" s="115"/>
      <c r="G524" s="115"/>
      <c r="H524" s="115"/>
      <c r="I524" s="115"/>
      <c r="J524" s="115"/>
      <c r="K524" s="316"/>
      <c r="L524" s="265"/>
      <c r="M524" s="115"/>
      <c r="N524" s="115"/>
      <c r="O524" s="290"/>
      <c r="P524" s="316"/>
      <c r="Q524" s="290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</row>
    <row r="525">
      <c r="A525" s="115"/>
      <c r="B525" s="265"/>
      <c r="C525" s="115"/>
      <c r="D525" s="115"/>
      <c r="E525" s="115"/>
      <c r="F525" s="115"/>
      <c r="G525" s="115"/>
      <c r="H525" s="115"/>
      <c r="I525" s="115"/>
      <c r="J525" s="115"/>
      <c r="K525" s="316"/>
      <c r="L525" s="265"/>
      <c r="M525" s="115"/>
      <c r="N525" s="115"/>
      <c r="O525" s="290"/>
      <c r="P525" s="316"/>
      <c r="Q525" s="290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</row>
    <row r="526">
      <c r="A526" s="115"/>
      <c r="B526" s="265"/>
      <c r="C526" s="115"/>
      <c r="D526" s="115"/>
      <c r="E526" s="115"/>
      <c r="F526" s="115"/>
      <c r="G526" s="115"/>
      <c r="H526" s="115"/>
      <c r="I526" s="115"/>
      <c r="J526" s="115"/>
      <c r="K526" s="316"/>
      <c r="L526" s="265"/>
      <c r="M526" s="115"/>
      <c r="N526" s="115"/>
      <c r="O526" s="290"/>
      <c r="P526" s="316"/>
      <c r="Q526" s="290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</row>
    <row r="527">
      <c r="A527" s="115"/>
      <c r="B527" s="265"/>
      <c r="C527" s="115"/>
      <c r="D527" s="115"/>
      <c r="E527" s="115"/>
      <c r="F527" s="115"/>
      <c r="G527" s="115"/>
      <c r="H527" s="115"/>
      <c r="I527" s="115"/>
      <c r="J527" s="115"/>
      <c r="K527" s="316"/>
      <c r="L527" s="265"/>
      <c r="M527" s="115"/>
      <c r="N527" s="115"/>
      <c r="O527" s="290"/>
      <c r="P527" s="316"/>
      <c r="Q527" s="290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</row>
    <row r="528">
      <c r="A528" s="115"/>
      <c r="B528" s="265"/>
      <c r="C528" s="115"/>
      <c r="D528" s="115"/>
      <c r="E528" s="115"/>
      <c r="F528" s="115"/>
      <c r="G528" s="115"/>
      <c r="H528" s="115"/>
      <c r="I528" s="115"/>
      <c r="J528" s="115"/>
      <c r="K528" s="316"/>
      <c r="L528" s="265"/>
      <c r="M528" s="115"/>
      <c r="N528" s="115"/>
      <c r="O528" s="290"/>
      <c r="P528" s="316"/>
      <c r="Q528" s="290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</row>
    <row r="529">
      <c r="A529" s="115"/>
      <c r="B529" s="265"/>
      <c r="C529" s="115"/>
      <c r="D529" s="115"/>
      <c r="E529" s="115"/>
      <c r="F529" s="115"/>
      <c r="G529" s="115"/>
      <c r="H529" s="115"/>
      <c r="I529" s="115"/>
      <c r="J529" s="115"/>
      <c r="K529" s="316"/>
      <c r="L529" s="265"/>
      <c r="M529" s="115"/>
      <c r="N529" s="115"/>
      <c r="O529" s="290"/>
      <c r="P529" s="316"/>
      <c r="Q529" s="290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</row>
    <row r="530">
      <c r="A530" s="115"/>
      <c r="B530" s="265"/>
      <c r="C530" s="115"/>
      <c r="D530" s="115"/>
      <c r="E530" s="115"/>
      <c r="F530" s="115"/>
      <c r="G530" s="115"/>
      <c r="H530" s="115"/>
      <c r="I530" s="115"/>
      <c r="J530" s="115"/>
      <c r="K530" s="316"/>
      <c r="L530" s="265"/>
      <c r="M530" s="115"/>
      <c r="N530" s="115"/>
      <c r="O530" s="290"/>
      <c r="P530" s="316"/>
      <c r="Q530" s="290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</row>
    <row r="531">
      <c r="A531" s="115"/>
      <c r="B531" s="265"/>
      <c r="C531" s="115"/>
      <c r="D531" s="115"/>
      <c r="E531" s="115"/>
      <c r="F531" s="115"/>
      <c r="G531" s="115"/>
      <c r="H531" s="115"/>
      <c r="I531" s="115"/>
      <c r="J531" s="115"/>
      <c r="K531" s="316"/>
      <c r="L531" s="265"/>
      <c r="M531" s="115"/>
      <c r="N531" s="115"/>
      <c r="O531" s="290"/>
      <c r="P531" s="316"/>
      <c r="Q531" s="290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</row>
    <row r="532">
      <c r="A532" s="115"/>
      <c r="B532" s="265"/>
      <c r="C532" s="115"/>
      <c r="D532" s="115"/>
      <c r="E532" s="115"/>
      <c r="F532" s="115"/>
      <c r="G532" s="115"/>
      <c r="H532" s="115"/>
      <c r="I532" s="115"/>
      <c r="J532" s="115"/>
      <c r="K532" s="316"/>
      <c r="L532" s="265"/>
      <c r="M532" s="115"/>
      <c r="N532" s="115"/>
      <c r="O532" s="290"/>
      <c r="P532" s="316"/>
      <c r="Q532" s="290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</row>
    <row r="533">
      <c r="A533" s="115"/>
      <c r="B533" s="265"/>
      <c r="C533" s="115"/>
      <c r="D533" s="115"/>
      <c r="E533" s="115"/>
      <c r="F533" s="115"/>
      <c r="G533" s="115"/>
      <c r="H533" s="115"/>
      <c r="I533" s="115"/>
      <c r="J533" s="115"/>
      <c r="K533" s="316"/>
      <c r="L533" s="265"/>
      <c r="M533" s="115"/>
      <c r="N533" s="115"/>
      <c r="O533" s="290"/>
      <c r="P533" s="316"/>
      <c r="Q533" s="290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</row>
    <row r="534">
      <c r="A534" s="115"/>
      <c r="B534" s="265"/>
      <c r="C534" s="115"/>
      <c r="D534" s="115"/>
      <c r="E534" s="115"/>
      <c r="F534" s="115"/>
      <c r="G534" s="115"/>
      <c r="H534" s="115"/>
      <c r="I534" s="115"/>
      <c r="J534" s="115"/>
      <c r="K534" s="316"/>
      <c r="L534" s="265"/>
      <c r="M534" s="115"/>
      <c r="N534" s="115"/>
      <c r="O534" s="290"/>
      <c r="P534" s="316"/>
      <c r="Q534" s="290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</row>
    <row r="535">
      <c r="A535" s="115"/>
      <c r="B535" s="265"/>
      <c r="C535" s="115"/>
      <c r="D535" s="115"/>
      <c r="E535" s="115"/>
      <c r="F535" s="115"/>
      <c r="G535" s="115"/>
      <c r="H535" s="115"/>
      <c r="I535" s="115"/>
      <c r="J535" s="115"/>
      <c r="K535" s="316"/>
      <c r="L535" s="265"/>
      <c r="M535" s="115"/>
      <c r="N535" s="115"/>
      <c r="O535" s="290"/>
      <c r="P535" s="316"/>
      <c r="Q535" s="290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</row>
    <row r="536">
      <c r="A536" s="115"/>
      <c r="B536" s="265"/>
      <c r="C536" s="115"/>
      <c r="D536" s="115"/>
      <c r="E536" s="115"/>
      <c r="F536" s="115"/>
      <c r="G536" s="115"/>
      <c r="H536" s="115"/>
      <c r="I536" s="115"/>
      <c r="J536" s="115"/>
      <c r="K536" s="316"/>
      <c r="L536" s="265"/>
      <c r="M536" s="115"/>
      <c r="N536" s="115"/>
      <c r="O536" s="290"/>
      <c r="P536" s="316"/>
      <c r="Q536" s="290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</row>
    <row r="537">
      <c r="A537" s="115"/>
      <c r="B537" s="265"/>
      <c r="C537" s="115"/>
      <c r="D537" s="115"/>
      <c r="E537" s="115"/>
      <c r="F537" s="115"/>
      <c r="G537" s="115"/>
      <c r="H537" s="115"/>
      <c r="I537" s="115"/>
      <c r="J537" s="115"/>
      <c r="K537" s="316"/>
      <c r="L537" s="265"/>
      <c r="M537" s="115"/>
      <c r="N537" s="115"/>
      <c r="O537" s="290"/>
      <c r="P537" s="316"/>
      <c r="Q537" s="290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</row>
    <row r="538">
      <c r="A538" s="115"/>
      <c r="B538" s="265"/>
      <c r="C538" s="115"/>
      <c r="D538" s="115"/>
      <c r="E538" s="115"/>
      <c r="F538" s="115"/>
      <c r="G538" s="115"/>
      <c r="H538" s="115"/>
      <c r="I538" s="115"/>
      <c r="J538" s="115"/>
      <c r="K538" s="316"/>
      <c r="L538" s="265"/>
      <c r="M538" s="115"/>
      <c r="N538" s="115"/>
      <c r="O538" s="290"/>
      <c r="P538" s="316"/>
      <c r="Q538" s="290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</row>
    <row r="539">
      <c r="A539" s="115"/>
      <c r="B539" s="265"/>
      <c r="C539" s="115"/>
      <c r="D539" s="115"/>
      <c r="E539" s="115"/>
      <c r="F539" s="115"/>
      <c r="G539" s="115"/>
      <c r="H539" s="115"/>
      <c r="I539" s="115"/>
      <c r="J539" s="115"/>
      <c r="K539" s="316"/>
      <c r="L539" s="265"/>
      <c r="M539" s="115"/>
      <c r="N539" s="115"/>
      <c r="O539" s="290"/>
      <c r="P539" s="316"/>
      <c r="Q539" s="290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</row>
    <row r="540">
      <c r="A540" s="115"/>
      <c r="B540" s="265"/>
      <c r="C540" s="115"/>
      <c r="D540" s="115"/>
      <c r="E540" s="115"/>
      <c r="F540" s="115"/>
      <c r="G540" s="115"/>
      <c r="H540" s="115"/>
      <c r="I540" s="115"/>
      <c r="J540" s="115"/>
      <c r="K540" s="316"/>
      <c r="L540" s="265"/>
      <c r="M540" s="115"/>
      <c r="N540" s="115"/>
      <c r="O540" s="290"/>
      <c r="P540" s="316"/>
      <c r="Q540" s="290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</row>
    <row r="541">
      <c r="A541" s="115"/>
      <c r="B541" s="265"/>
      <c r="C541" s="115"/>
      <c r="D541" s="115"/>
      <c r="E541" s="115"/>
      <c r="F541" s="115"/>
      <c r="G541" s="115"/>
      <c r="H541" s="115"/>
      <c r="I541" s="115"/>
      <c r="J541" s="115"/>
      <c r="K541" s="316"/>
      <c r="L541" s="265"/>
      <c r="M541" s="115"/>
      <c r="N541" s="115"/>
      <c r="O541" s="290"/>
      <c r="P541" s="316"/>
      <c r="Q541" s="290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</row>
    <row r="542">
      <c r="A542" s="115"/>
      <c r="B542" s="265"/>
      <c r="C542" s="115"/>
      <c r="D542" s="115"/>
      <c r="E542" s="115"/>
      <c r="F542" s="115"/>
      <c r="G542" s="115"/>
      <c r="H542" s="115"/>
      <c r="I542" s="115"/>
      <c r="J542" s="115"/>
      <c r="K542" s="316"/>
      <c r="L542" s="265"/>
      <c r="M542" s="115"/>
      <c r="N542" s="115"/>
      <c r="O542" s="290"/>
      <c r="P542" s="316"/>
      <c r="Q542" s="290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</row>
    <row r="543">
      <c r="A543" s="115"/>
      <c r="B543" s="265"/>
      <c r="C543" s="115"/>
      <c r="D543" s="115"/>
      <c r="E543" s="115"/>
      <c r="F543" s="115"/>
      <c r="G543" s="115"/>
      <c r="H543" s="115"/>
      <c r="I543" s="115"/>
      <c r="J543" s="115"/>
      <c r="K543" s="316"/>
      <c r="L543" s="265"/>
      <c r="M543" s="115"/>
      <c r="N543" s="115"/>
      <c r="O543" s="290"/>
      <c r="P543" s="316"/>
      <c r="Q543" s="290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</row>
    <row r="544">
      <c r="A544" s="115"/>
      <c r="B544" s="265"/>
      <c r="C544" s="115"/>
      <c r="D544" s="115"/>
      <c r="E544" s="115"/>
      <c r="F544" s="115"/>
      <c r="G544" s="115"/>
      <c r="H544" s="115"/>
      <c r="I544" s="115"/>
      <c r="J544" s="115"/>
      <c r="K544" s="316"/>
      <c r="L544" s="265"/>
      <c r="M544" s="115"/>
      <c r="N544" s="115"/>
      <c r="O544" s="290"/>
      <c r="P544" s="316"/>
      <c r="Q544" s="290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</row>
    <row r="545">
      <c r="A545" s="115"/>
      <c r="B545" s="265"/>
      <c r="C545" s="115"/>
      <c r="D545" s="115"/>
      <c r="E545" s="115"/>
      <c r="F545" s="115"/>
      <c r="G545" s="115"/>
      <c r="H545" s="115"/>
      <c r="I545" s="115"/>
      <c r="J545" s="115"/>
      <c r="K545" s="316"/>
      <c r="L545" s="265"/>
      <c r="M545" s="115"/>
      <c r="N545" s="115"/>
      <c r="O545" s="290"/>
      <c r="P545" s="316"/>
      <c r="Q545" s="290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</row>
    <row r="546">
      <c r="A546" s="115"/>
      <c r="B546" s="265"/>
      <c r="C546" s="115"/>
      <c r="D546" s="115"/>
      <c r="E546" s="115"/>
      <c r="F546" s="115"/>
      <c r="G546" s="115"/>
      <c r="H546" s="115"/>
      <c r="I546" s="115"/>
      <c r="J546" s="115"/>
      <c r="K546" s="316"/>
      <c r="L546" s="265"/>
      <c r="M546" s="115"/>
      <c r="N546" s="115"/>
      <c r="O546" s="290"/>
      <c r="P546" s="316"/>
      <c r="Q546" s="290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</row>
    <row r="547">
      <c r="A547" s="115"/>
      <c r="B547" s="265"/>
      <c r="C547" s="115"/>
      <c r="D547" s="115"/>
      <c r="E547" s="115"/>
      <c r="F547" s="115"/>
      <c r="G547" s="115"/>
      <c r="H547" s="115"/>
      <c r="I547" s="115"/>
      <c r="J547" s="115"/>
      <c r="K547" s="316"/>
      <c r="L547" s="265"/>
      <c r="M547" s="115"/>
      <c r="N547" s="115"/>
      <c r="O547" s="290"/>
      <c r="P547" s="316"/>
      <c r="Q547" s="290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</row>
    <row r="548">
      <c r="A548" s="115"/>
      <c r="B548" s="265"/>
      <c r="C548" s="115"/>
      <c r="D548" s="115"/>
      <c r="E548" s="115"/>
      <c r="F548" s="115"/>
      <c r="G548" s="115"/>
      <c r="H548" s="115"/>
      <c r="I548" s="115"/>
      <c r="J548" s="115"/>
      <c r="K548" s="316"/>
      <c r="L548" s="265"/>
      <c r="M548" s="115"/>
      <c r="N548" s="115"/>
      <c r="O548" s="290"/>
      <c r="P548" s="316"/>
      <c r="Q548" s="290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</row>
    <row r="549">
      <c r="A549" s="115"/>
      <c r="B549" s="265"/>
      <c r="C549" s="115"/>
      <c r="D549" s="115"/>
      <c r="E549" s="115"/>
      <c r="F549" s="115"/>
      <c r="G549" s="115"/>
      <c r="H549" s="115"/>
      <c r="I549" s="115"/>
      <c r="J549" s="115"/>
      <c r="K549" s="316"/>
      <c r="L549" s="265"/>
      <c r="M549" s="115"/>
      <c r="N549" s="115"/>
      <c r="O549" s="290"/>
      <c r="P549" s="316"/>
      <c r="Q549" s="290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</row>
    <row r="550">
      <c r="A550" s="115"/>
      <c r="B550" s="265"/>
      <c r="C550" s="115"/>
      <c r="D550" s="115"/>
      <c r="E550" s="115"/>
      <c r="F550" s="115"/>
      <c r="G550" s="115"/>
      <c r="H550" s="115"/>
      <c r="I550" s="115"/>
      <c r="J550" s="115"/>
      <c r="K550" s="316"/>
      <c r="L550" s="265"/>
      <c r="M550" s="115"/>
      <c r="N550" s="115"/>
      <c r="O550" s="290"/>
      <c r="P550" s="316"/>
      <c r="Q550" s="290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</row>
    <row r="551">
      <c r="A551" s="115"/>
      <c r="B551" s="265"/>
      <c r="C551" s="115"/>
      <c r="D551" s="115"/>
      <c r="E551" s="115"/>
      <c r="F551" s="115"/>
      <c r="G551" s="115"/>
      <c r="H551" s="115"/>
      <c r="I551" s="115"/>
      <c r="J551" s="115"/>
      <c r="K551" s="316"/>
      <c r="L551" s="265"/>
      <c r="M551" s="115"/>
      <c r="N551" s="115"/>
      <c r="O551" s="290"/>
      <c r="P551" s="316"/>
      <c r="Q551" s="290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</row>
    <row r="552">
      <c r="A552" s="115"/>
      <c r="B552" s="265"/>
      <c r="C552" s="115"/>
      <c r="D552" s="115"/>
      <c r="E552" s="115"/>
      <c r="F552" s="115"/>
      <c r="G552" s="115"/>
      <c r="H552" s="115"/>
      <c r="I552" s="115"/>
      <c r="J552" s="115"/>
      <c r="K552" s="316"/>
      <c r="L552" s="265"/>
      <c r="M552" s="115"/>
      <c r="N552" s="115"/>
      <c r="O552" s="290"/>
      <c r="P552" s="316"/>
      <c r="Q552" s="290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</row>
    <row r="553">
      <c r="A553" s="115"/>
      <c r="B553" s="265"/>
      <c r="C553" s="115"/>
      <c r="D553" s="115"/>
      <c r="E553" s="115"/>
      <c r="F553" s="115"/>
      <c r="G553" s="115"/>
      <c r="H553" s="115"/>
      <c r="I553" s="115"/>
      <c r="J553" s="115"/>
      <c r="K553" s="316"/>
      <c r="L553" s="265"/>
      <c r="M553" s="115"/>
      <c r="N553" s="115"/>
      <c r="O553" s="290"/>
      <c r="P553" s="316"/>
      <c r="Q553" s="290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</row>
    <row r="554">
      <c r="A554" s="115"/>
      <c r="B554" s="265"/>
      <c r="C554" s="115"/>
      <c r="D554" s="115"/>
      <c r="E554" s="115"/>
      <c r="F554" s="115"/>
      <c r="G554" s="115"/>
      <c r="H554" s="115"/>
      <c r="I554" s="115"/>
      <c r="J554" s="115"/>
      <c r="K554" s="316"/>
      <c r="L554" s="265"/>
      <c r="M554" s="115"/>
      <c r="N554" s="115"/>
      <c r="O554" s="290"/>
      <c r="P554" s="316"/>
      <c r="Q554" s="290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</row>
    <row r="555">
      <c r="A555" s="115"/>
      <c r="B555" s="265"/>
      <c r="C555" s="115"/>
      <c r="D555" s="115"/>
      <c r="E555" s="115"/>
      <c r="F555" s="115"/>
      <c r="G555" s="115"/>
      <c r="H555" s="115"/>
      <c r="I555" s="115"/>
      <c r="J555" s="115"/>
      <c r="K555" s="316"/>
      <c r="L555" s="265"/>
      <c r="M555" s="115"/>
      <c r="N555" s="115"/>
      <c r="O555" s="290"/>
      <c r="P555" s="316"/>
      <c r="Q555" s="290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</row>
    <row r="556">
      <c r="A556" s="115"/>
      <c r="B556" s="265"/>
      <c r="C556" s="115"/>
      <c r="D556" s="115"/>
      <c r="E556" s="115"/>
      <c r="F556" s="115"/>
      <c r="G556" s="115"/>
      <c r="H556" s="115"/>
      <c r="I556" s="115"/>
      <c r="J556" s="115"/>
      <c r="K556" s="316"/>
      <c r="L556" s="265"/>
      <c r="M556" s="115"/>
      <c r="N556" s="115"/>
      <c r="O556" s="290"/>
      <c r="P556" s="316"/>
      <c r="Q556" s="290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</row>
    <row r="557">
      <c r="A557" s="115"/>
      <c r="B557" s="265"/>
      <c r="C557" s="115"/>
      <c r="D557" s="115"/>
      <c r="E557" s="115"/>
      <c r="F557" s="115"/>
      <c r="G557" s="115"/>
      <c r="H557" s="115"/>
      <c r="I557" s="115"/>
      <c r="J557" s="115"/>
      <c r="K557" s="316"/>
      <c r="L557" s="265"/>
      <c r="M557" s="115"/>
      <c r="N557" s="115"/>
      <c r="O557" s="290"/>
      <c r="P557" s="316"/>
      <c r="Q557" s="290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</row>
    <row r="558">
      <c r="A558" s="115"/>
      <c r="B558" s="265"/>
      <c r="C558" s="115"/>
      <c r="D558" s="115"/>
      <c r="E558" s="115"/>
      <c r="F558" s="115"/>
      <c r="G558" s="115"/>
      <c r="H558" s="115"/>
      <c r="I558" s="115"/>
      <c r="J558" s="115"/>
      <c r="K558" s="316"/>
      <c r="L558" s="265"/>
      <c r="M558" s="115"/>
      <c r="N558" s="115"/>
      <c r="O558" s="290"/>
      <c r="P558" s="316"/>
      <c r="Q558" s="290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</row>
    <row r="559">
      <c r="A559" s="115"/>
      <c r="B559" s="265"/>
      <c r="C559" s="115"/>
      <c r="D559" s="115"/>
      <c r="E559" s="115"/>
      <c r="F559" s="115"/>
      <c r="G559" s="115"/>
      <c r="H559" s="115"/>
      <c r="I559" s="115"/>
      <c r="J559" s="115"/>
      <c r="K559" s="316"/>
      <c r="L559" s="265"/>
      <c r="M559" s="115"/>
      <c r="N559" s="115"/>
      <c r="O559" s="290"/>
      <c r="P559" s="316"/>
      <c r="Q559" s="290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</row>
    <row r="560">
      <c r="A560" s="115"/>
      <c r="B560" s="265"/>
      <c r="C560" s="115"/>
      <c r="D560" s="115"/>
      <c r="E560" s="115"/>
      <c r="F560" s="115"/>
      <c r="G560" s="115"/>
      <c r="H560" s="115"/>
      <c r="I560" s="115"/>
      <c r="J560" s="115"/>
      <c r="K560" s="316"/>
      <c r="L560" s="265"/>
      <c r="M560" s="115"/>
      <c r="N560" s="115"/>
      <c r="O560" s="290"/>
      <c r="P560" s="316"/>
      <c r="Q560" s="290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</row>
    <row r="561">
      <c r="A561" s="115"/>
      <c r="B561" s="265"/>
      <c r="C561" s="115"/>
      <c r="D561" s="115"/>
      <c r="E561" s="115"/>
      <c r="F561" s="115"/>
      <c r="G561" s="115"/>
      <c r="H561" s="115"/>
      <c r="I561" s="115"/>
      <c r="J561" s="115"/>
      <c r="K561" s="316"/>
      <c r="L561" s="265"/>
      <c r="M561" s="115"/>
      <c r="N561" s="115"/>
      <c r="O561" s="290"/>
      <c r="P561" s="316"/>
      <c r="Q561" s="290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</row>
    <row r="562">
      <c r="A562" s="115"/>
      <c r="B562" s="265"/>
      <c r="C562" s="115"/>
      <c r="D562" s="115"/>
      <c r="E562" s="115"/>
      <c r="F562" s="115"/>
      <c r="G562" s="115"/>
      <c r="H562" s="115"/>
      <c r="I562" s="115"/>
      <c r="J562" s="115"/>
      <c r="K562" s="316"/>
      <c r="L562" s="265"/>
      <c r="M562" s="115"/>
      <c r="N562" s="115"/>
      <c r="O562" s="290"/>
      <c r="P562" s="316"/>
      <c r="Q562" s="290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</row>
    <row r="563">
      <c r="A563" s="115"/>
      <c r="B563" s="265"/>
      <c r="C563" s="115"/>
      <c r="D563" s="115"/>
      <c r="E563" s="115"/>
      <c r="F563" s="115"/>
      <c r="G563" s="115"/>
      <c r="H563" s="115"/>
      <c r="I563" s="115"/>
      <c r="J563" s="115"/>
      <c r="K563" s="316"/>
      <c r="L563" s="265"/>
      <c r="M563" s="115"/>
      <c r="N563" s="115"/>
      <c r="O563" s="290"/>
      <c r="P563" s="316"/>
      <c r="Q563" s="290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</row>
    <row r="564">
      <c r="A564" s="115"/>
      <c r="B564" s="265"/>
      <c r="C564" s="115"/>
      <c r="D564" s="115"/>
      <c r="E564" s="115"/>
      <c r="F564" s="115"/>
      <c r="G564" s="115"/>
      <c r="H564" s="115"/>
      <c r="I564" s="115"/>
      <c r="J564" s="115"/>
      <c r="K564" s="316"/>
      <c r="L564" s="265"/>
      <c r="M564" s="115"/>
      <c r="N564" s="115"/>
      <c r="O564" s="290"/>
      <c r="P564" s="316"/>
      <c r="Q564" s="290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</row>
    <row r="565">
      <c r="A565" s="115"/>
      <c r="B565" s="265"/>
      <c r="C565" s="115"/>
      <c r="D565" s="115"/>
      <c r="E565" s="115"/>
      <c r="F565" s="115"/>
      <c r="G565" s="115"/>
      <c r="H565" s="115"/>
      <c r="I565" s="115"/>
      <c r="J565" s="115"/>
      <c r="K565" s="316"/>
      <c r="L565" s="265"/>
      <c r="M565" s="115"/>
      <c r="N565" s="115"/>
      <c r="O565" s="290"/>
      <c r="P565" s="316"/>
      <c r="Q565" s="290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</row>
    <row r="566">
      <c r="A566" s="115"/>
      <c r="B566" s="265"/>
      <c r="C566" s="115"/>
      <c r="D566" s="115"/>
      <c r="E566" s="115"/>
      <c r="F566" s="115"/>
      <c r="G566" s="115"/>
      <c r="H566" s="115"/>
      <c r="I566" s="115"/>
      <c r="J566" s="115"/>
      <c r="K566" s="316"/>
      <c r="L566" s="265"/>
      <c r="M566" s="115"/>
      <c r="N566" s="115"/>
      <c r="O566" s="290"/>
      <c r="P566" s="316"/>
      <c r="Q566" s="290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</row>
    <row r="567">
      <c r="A567" s="115"/>
      <c r="B567" s="265"/>
      <c r="C567" s="115"/>
      <c r="D567" s="115"/>
      <c r="E567" s="115"/>
      <c r="F567" s="115"/>
      <c r="G567" s="115"/>
      <c r="H567" s="115"/>
      <c r="I567" s="115"/>
      <c r="J567" s="115"/>
      <c r="K567" s="316"/>
      <c r="L567" s="265"/>
      <c r="M567" s="115"/>
      <c r="N567" s="115"/>
      <c r="O567" s="290"/>
      <c r="P567" s="316"/>
      <c r="Q567" s="290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</row>
    <row r="568">
      <c r="A568" s="115"/>
      <c r="B568" s="265"/>
      <c r="C568" s="115"/>
      <c r="D568" s="115"/>
      <c r="E568" s="115"/>
      <c r="F568" s="115"/>
      <c r="G568" s="115"/>
      <c r="H568" s="115"/>
      <c r="I568" s="115"/>
      <c r="J568" s="115"/>
      <c r="K568" s="316"/>
      <c r="L568" s="265"/>
      <c r="M568" s="115"/>
      <c r="N568" s="115"/>
      <c r="O568" s="290"/>
      <c r="P568" s="316"/>
      <c r="Q568" s="290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</row>
    <row r="569">
      <c r="A569" s="115"/>
      <c r="B569" s="265"/>
      <c r="C569" s="115"/>
      <c r="D569" s="115"/>
      <c r="E569" s="115"/>
      <c r="F569" s="115"/>
      <c r="G569" s="115"/>
      <c r="H569" s="115"/>
      <c r="I569" s="115"/>
      <c r="J569" s="115"/>
      <c r="K569" s="316"/>
      <c r="L569" s="265"/>
      <c r="M569" s="115"/>
      <c r="N569" s="115"/>
      <c r="O569" s="290"/>
      <c r="P569" s="316"/>
      <c r="Q569" s="290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</row>
    <row r="570">
      <c r="A570" s="115"/>
      <c r="B570" s="265"/>
      <c r="C570" s="115"/>
      <c r="D570" s="115"/>
      <c r="E570" s="115"/>
      <c r="F570" s="115"/>
      <c r="G570" s="115"/>
      <c r="H570" s="115"/>
      <c r="I570" s="115"/>
      <c r="J570" s="115"/>
      <c r="K570" s="316"/>
      <c r="L570" s="265"/>
      <c r="M570" s="115"/>
      <c r="N570" s="115"/>
      <c r="O570" s="290"/>
      <c r="P570" s="316"/>
      <c r="Q570" s="290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</row>
    <row r="571">
      <c r="A571" s="115"/>
      <c r="B571" s="265"/>
      <c r="C571" s="115"/>
      <c r="D571" s="115"/>
      <c r="E571" s="115"/>
      <c r="F571" s="115"/>
      <c r="G571" s="115"/>
      <c r="H571" s="115"/>
      <c r="I571" s="115"/>
      <c r="J571" s="115"/>
      <c r="K571" s="316"/>
      <c r="L571" s="265"/>
      <c r="M571" s="115"/>
      <c r="N571" s="115"/>
      <c r="O571" s="290"/>
      <c r="P571" s="316"/>
      <c r="Q571" s="290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</row>
    <row r="572">
      <c r="A572" s="115"/>
      <c r="B572" s="265"/>
      <c r="C572" s="115"/>
      <c r="D572" s="115"/>
      <c r="E572" s="115"/>
      <c r="F572" s="115"/>
      <c r="G572" s="115"/>
      <c r="H572" s="115"/>
      <c r="I572" s="115"/>
      <c r="J572" s="115"/>
      <c r="K572" s="316"/>
      <c r="L572" s="265"/>
      <c r="M572" s="115"/>
      <c r="N572" s="115"/>
      <c r="O572" s="290"/>
      <c r="P572" s="316"/>
      <c r="Q572" s="290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</row>
    <row r="573">
      <c r="A573" s="115"/>
      <c r="B573" s="265"/>
      <c r="C573" s="115"/>
      <c r="D573" s="115"/>
      <c r="E573" s="115"/>
      <c r="F573" s="115"/>
      <c r="G573" s="115"/>
      <c r="H573" s="115"/>
      <c r="I573" s="115"/>
      <c r="J573" s="115"/>
      <c r="K573" s="316"/>
      <c r="L573" s="265"/>
      <c r="M573" s="115"/>
      <c r="N573" s="115"/>
      <c r="O573" s="290"/>
      <c r="P573" s="316"/>
      <c r="Q573" s="290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</row>
    <row r="574">
      <c r="A574" s="115"/>
      <c r="B574" s="265"/>
      <c r="C574" s="115"/>
      <c r="D574" s="115"/>
      <c r="E574" s="115"/>
      <c r="F574" s="115"/>
      <c r="G574" s="115"/>
      <c r="H574" s="115"/>
      <c r="I574" s="115"/>
      <c r="J574" s="115"/>
      <c r="K574" s="316"/>
      <c r="L574" s="265"/>
      <c r="M574" s="115"/>
      <c r="N574" s="115"/>
      <c r="O574" s="290"/>
      <c r="P574" s="316"/>
      <c r="Q574" s="290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</row>
    <row r="575">
      <c r="A575" s="115"/>
      <c r="B575" s="265"/>
      <c r="C575" s="115"/>
      <c r="D575" s="115"/>
      <c r="E575" s="115"/>
      <c r="F575" s="115"/>
      <c r="G575" s="115"/>
      <c r="H575" s="115"/>
      <c r="I575" s="115"/>
      <c r="J575" s="115"/>
      <c r="K575" s="316"/>
      <c r="L575" s="265"/>
      <c r="M575" s="115"/>
      <c r="N575" s="115"/>
      <c r="O575" s="290"/>
      <c r="P575" s="316"/>
      <c r="Q575" s="290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</row>
    <row r="576">
      <c r="A576" s="115"/>
      <c r="B576" s="265"/>
      <c r="C576" s="115"/>
      <c r="D576" s="115"/>
      <c r="E576" s="115"/>
      <c r="F576" s="115"/>
      <c r="G576" s="115"/>
      <c r="H576" s="115"/>
      <c r="I576" s="115"/>
      <c r="J576" s="115"/>
      <c r="K576" s="316"/>
      <c r="L576" s="265"/>
      <c r="M576" s="115"/>
      <c r="N576" s="115"/>
      <c r="O576" s="290"/>
      <c r="P576" s="316"/>
      <c r="Q576" s="290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</row>
    <row r="577">
      <c r="A577" s="115"/>
      <c r="B577" s="265"/>
      <c r="C577" s="115"/>
      <c r="D577" s="115"/>
      <c r="E577" s="115"/>
      <c r="F577" s="115"/>
      <c r="G577" s="115"/>
      <c r="H577" s="115"/>
      <c r="I577" s="115"/>
      <c r="J577" s="115"/>
      <c r="K577" s="316"/>
      <c r="L577" s="265"/>
      <c r="M577" s="115"/>
      <c r="N577" s="115"/>
      <c r="O577" s="290"/>
      <c r="P577" s="316"/>
      <c r="Q577" s="290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</row>
    <row r="578">
      <c r="A578" s="115"/>
      <c r="B578" s="265"/>
      <c r="C578" s="115"/>
      <c r="D578" s="115"/>
      <c r="E578" s="115"/>
      <c r="F578" s="115"/>
      <c r="G578" s="115"/>
      <c r="H578" s="115"/>
      <c r="I578" s="115"/>
      <c r="J578" s="115"/>
      <c r="K578" s="316"/>
      <c r="L578" s="265"/>
      <c r="M578" s="115"/>
      <c r="N578" s="115"/>
      <c r="O578" s="290"/>
      <c r="P578" s="316"/>
      <c r="Q578" s="290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</row>
    <row r="579">
      <c r="A579" s="115"/>
      <c r="B579" s="265"/>
      <c r="C579" s="115"/>
      <c r="D579" s="115"/>
      <c r="E579" s="115"/>
      <c r="F579" s="115"/>
      <c r="G579" s="115"/>
      <c r="H579" s="115"/>
      <c r="I579" s="115"/>
      <c r="J579" s="115"/>
      <c r="K579" s="316"/>
      <c r="L579" s="265"/>
      <c r="M579" s="115"/>
      <c r="N579" s="115"/>
      <c r="O579" s="290"/>
      <c r="P579" s="316"/>
      <c r="Q579" s="290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</row>
    <row r="580">
      <c r="A580" s="115"/>
      <c r="B580" s="265"/>
      <c r="C580" s="115"/>
      <c r="D580" s="115"/>
      <c r="E580" s="115"/>
      <c r="F580" s="115"/>
      <c r="G580" s="115"/>
      <c r="H580" s="115"/>
      <c r="I580" s="115"/>
      <c r="J580" s="115"/>
      <c r="K580" s="316"/>
      <c r="L580" s="265"/>
      <c r="M580" s="115"/>
      <c r="N580" s="115"/>
      <c r="O580" s="290"/>
      <c r="P580" s="316"/>
      <c r="Q580" s="290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</row>
    <row r="581">
      <c r="A581" s="115"/>
      <c r="B581" s="265"/>
      <c r="C581" s="115"/>
      <c r="D581" s="115"/>
      <c r="E581" s="115"/>
      <c r="F581" s="115"/>
      <c r="G581" s="115"/>
      <c r="H581" s="115"/>
      <c r="I581" s="115"/>
      <c r="J581" s="115"/>
      <c r="K581" s="316"/>
      <c r="L581" s="265"/>
      <c r="M581" s="115"/>
      <c r="N581" s="115"/>
      <c r="O581" s="290"/>
      <c r="P581" s="316"/>
      <c r="Q581" s="290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</row>
    <row r="582">
      <c r="A582" s="115"/>
      <c r="B582" s="265"/>
      <c r="C582" s="115"/>
      <c r="D582" s="115"/>
      <c r="E582" s="115"/>
      <c r="F582" s="115"/>
      <c r="G582" s="115"/>
      <c r="H582" s="115"/>
      <c r="I582" s="115"/>
      <c r="J582" s="115"/>
      <c r="K582" s="316"/>
      <c r="L582" s="265"/>
      <c r="M582" s="115"/>
      <c r="N582" s="115"/>
      <c r="O582" s="290"/>
      <c r="P582" s="316"/>
      <c r="Q582" s="290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</row>
    <row r="583">
      <c r="A583" s="115"/>
      <c r="B583" s="265"/>
      <c r="C583" s="115"/>
      <c r="D583" s="115"/>
      <c r="E583" s="115"/>
      <c r="F583" s="115"/>
      <c r="G583" s="115"/>
      <c r="H583" s="115"/>
      <c r="I583" s="115"/>
      <c r="J583" s="115"/>
      <c r="K583" s="316"/>
      <c r="L583" s="265"/>
      <c r="M583" s="115"/>
      <c r="N583" s="115"/>
      <c r="O583" s="290"/>
      <c r="P583" s="316"/>
      <c r="Q583" s="290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</row>
    <row r="584">
      <c r="A584" s="115"/>
      <c r="B584" s="265"/>
      <c r="C584" s="115"/>
      <c r="D584" s="115"/>
      <c r="E584" s="115"/>
      <c r="F584" s="115"/>
      <c r="G584" s="115"/>
      <c r="H584" s="115"/>
      <c r="I584" s="115"/>
      <c r="J584" s="115"/>
      <c r="K584" s="316"/>
      <c r="L584" s="265"/>
      <c r="M584" s="115"/>
      <c r="N584" s="115"/>
      <c r="O584" s="290"/>
      <c r="P584" s="316"/>
      <c r="Q584" s="290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</row>
    <row r="585">
      <c r="A585" s="115"/>
      <c r="B585" s="265"/>
      <c r="C585" s="115"/>
      <c r="D585" s="115"/>
      <c r="E585" s="115"/>
      <c r="F585" s="115"/>
      <c r="G585" s="115"/>
      <c r="H585" s="115"/>
      <c r="I585" s="115"/>
      <c r="J585" s="115"/>
      <c r="K585" s="316"/>
      <c r="L585" s="265"/>
      <c r="M585" s="115"/>
      <c r="N585" s="115"/>
      <c r="O585" s="290"/>
      <c r="P585" s="316"/>
      <c r="Q585" s="290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</row>
    <row r="586">
      <c r="A586" s="115"/>
      <c r="B586" s="265"/>
      <c r="C586" s="115"/>
      <c r="D586" s="115"/>
      <c r="E586" s="115"/>
      <c r="F586" s="115"/>
      <c r="G586" s="115"/>
      <c r="H586" s="115"/>
      <c r="I586" s="115"/>
      <c r="J586" s="115"/>
      <c r="K586" s="316"/>
      <c r="L586" s="265"/>
      <c r="M586" s="115"/>
      <c r="N586" s="115"/>
      <c r="O586" s="290"/>
      <c r="P586" s="316"/>
      <c r="Q586" s="290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</row>
    <row r="587">
      <c r="A587" s="115"/>
      <c r="B587" s="265"/>
      <c r="C587" s="115"/>
      <c r="D587" s="115"/>
      <c r="E587" s="115"/>
      <c r="F587" s="115"/>
      <c r="G587" s="115"/>
      <c r="H587" s="115"/>
      <c r="I587" s="115"/>
      <c r="J587" s="115"/>
      <c r="K587" s="316"/>
      <c r="L587" s="265"/>
      <c r="M587" s="115"/>
      <c r="N587" s="115"/>
      <c r="O587" s="290"/>
      <c r="P587" s="316"/>
      <c r="Q587" s="290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</row>
    <row r="588">
      <c r="A588" s="115"/>
      <c r="B588" s="265"/>
      <c r="C588" s="115"/>
      <c r="D588" s="115"/>
      <c r="E588" s="115"/>
      <c r="F588" s="115"/>
      <c r="G588" s="115"/>
      <c r="H588" s="115"/>
      <c r="I588" s="115"/>
      <c r="J588" s="115"/>
      <c r="K588" s="316"/>
      <c r="L588" s="265"/>
      <c r="M588" s="115"/>
      <c r="N588" s="115"/>
      <c r="O588" s="290"/>
      <c r="P588" s="316"/>
      <c r="Q588" s="290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</row>
    <row r="589">
      <c r="A589" s="115"/>
      <c r="B589" s="265"/>
      <c r="C589" s="115"/>
      <c r="D589" s="115"/>
      <c r="E589" s="115"/>
      <c r="F589" s="115"/>
      <c r="G589" s="115"/>
      <c r="H589" s="115"/>
      <c r="I589" s="115"/>
      <c r="J589" s="115"/>
      <c r="K589" s="316"/>
      <c r="L589" s="265"/>
      <c r="M589" s="115"/>
      <c r="N589" s="115"/>
      <c r="O589" s="290"/>
      <c r="P589" s="316"/>
      <c r="Q589" s="290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</row>
    <row r="590">
      <c r="A590" s="115"/>
      <c r="B590" s="265"/>
      <c r="C590" s="115"/>
      <c r="D590" s="115"/>
      <c r="E590" s="115"/>
      <c r="F590" s="115"/>
      <c r="G590" s="115"/>
      <c r="H590" s="115"/>
      <c r="I590" s="115"/>
      <c r="J590" s="115"/>
      <c r="K590" s="316"/>
      <c r="L590" s="265"/>
      <c r="M590" s="115"/>
      <c r="N590" s="115"/>
      <c r="O590" s="290"/>
      <c r="P590" s="316"/>
      <c r="Q590" s="290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</row>
    <row r="591">
      <c r="A591" s="115"/>
      <c r="B591" s="265"/>
      <c r="C591" s="115"/>
      <c r="D591" s="115"/>
      <c r="E591" s="115"/>
      <c r="F591" s="115"/>
      <c r="G591" s="115"/>
      <c r="H591" s="115"/>
      <c r="I591" s="115"/>
      <c r="J591" s="115"/>
      <c r="K591" s="316"/>
      <c r="L591" s="265"/>
      <c r="M591" s="115"/>
      <c r="N591" s="115"/>
      <c r="O591" s="290"/>
      <c r="P591" s="316"/>
      <c r="Q591" s="290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</row>
    <row r="592">
      <c r="A592" s="115"/>
      <c r="B592" s="265"/>
      <c r="C592" s="115"/>
      <c r="D592" s="115"/>
      <c r="E592" s="115"/>
      <c r="F592" s="115"/>
      <c r="G592" s="115"/>
      <c r="H592" s="115"/>
      <c r="I592" s="115"/>
      <c r="J592" s="115"/>
      <c r="K592" s="316"/>
      <c r="L592" s="265"/>
      <c r="M592" s="115"/>
      <c r="N592" s="115"/>
      <c r="O592" s="290"/>
      <c r="P592" s="316"/>
      <c r="Q592" s="290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</row>
    <row r="593">
      <c r="A593" s="115"/>
      <c r="B593" s="265"/>
      <c r="C593" s="115"/>
      <c r="D593" s="115"/>
      <c r="E593" s="115"/>
      <c r="F593" s="115"/>
      <c r="G593" s="115"/>
      <c r="H593" s="115"/>
      <c r="I593" s="115"/>
      <c r="J593" s="115"/>
      <c r="K593" s="316"/>
      <c r="L593" s="265"/>
      <c r="M593" s="115"/>
      <c r="N593" s="115"/>
      <c r="O593" s="290"/>
      <c r="P593" s="316"/>
      <c r="Q593" s="290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</row>
    <row r="594">
      <c r="A594" s="115"/>
      <c r="B594" s="265"/>
      <c r="C594" s="115"/>
      <c r="D594" s="115"/>
      <c r="E594" s="115"/>
      <c r="F594" s="115"/>
      <c r="G594" s="115"/>
      <c r="H594" s="115"/>
      <c r="I594" s="115"/>
      <c r="J594" s="115"/>
      <c r="K594" s="316"/>
      <c r="L594" s="265"/>
      <c r="M594" s="115"/>
      <c r="N594" s="115"/>
      <c r="O594" s="290"/>
      <c r="P594" s="316"/>
      <c r="Q594" s="290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</row>
    <row r="595">
      <c r="A595" s="115"/>
      <c r="B595" s="265"/>
      <c r="C595" s="115"/>
      <c r="D595" s="115"/>
      <c r="E595" s="115"/>
      <c r="F595" s="115"/>
      <c r="G595" s="115"/>
      <c r="H595" s="115"/>
      <c r="I595" s="115"/>
      <c r="J595" s="115"/>
      <c r="K595" s="316"/>
      <c r="L595" s="265"/>
      <c r="M595" s="115"/>
      <c r="N595" s="115"/>
      <c r="O595" s="290"/>
      <c r="P595" s="316"/>
      <c r="Q595" s="290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</row>
    <row r="596">
      <c r="A596" s="115"/>
      <c r="B596" s="265"/>
      <c r="C596" s="115"/>
      <c r="D596" s="115"/>
      <c r="E596" s="115"/>
      <c r="F596" s="115"/>
      <c r="G596" s="115"/>
      <c r="H596" s="115"/>
      <c r="I596" s="115"/>
      <c r="J596" s="115"/>
      <c r="K596" s="316"/>
      <c r="L596" s="265"/>
      <c r="M596" s="115"/>
      <c r="N596" s="115"/>
      <c r="O596" s="290"/>
      <c r="P596" s="316"/>
      <c r="Q596" s="290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</row>
    <row r="597">
      <c r="A597" s="115"/>
      <c r="B597" s="265"/>
      <c r="C597" s="115"/>
      <c r="D597" s="115"/>
      <c r="E597" s="115"/>
      <c r="F597" s="115"/>
      <c r="G597" s="115"/>
      <c r="H597" s="115"/>
      <c r="I597" s="115"/>
      <c r="J597" s="115"/>
      <c r="K597" s="316"/>
      <c r="L597" s="265"/>
      <c r="M597" s="115"/>
      <c r="N597" s="115"/>
      <c r="O597" s="290"/>
      <c r="P597" s="316"/>
      <c r="Q597" s="290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</row>
    <row r="598">
      <c r="A598" s="115"/>
      <c r="B598" s="265"/>
      <c r="C598" s="115"/>
      <c r="D598" s="115"/>
      <c r="E598" s="115"/>
      <c r="F598" s="115"/>
      <c r="G598" s="115"/>
      <c r="H598" s="115"/>
      <c r="I598" s="115"/>
      <c r="J598" s="115"/>
      <c r="K598" s="316"/>
      <c r="L598" s="265"/>
      <c r="M598" s="115"/>
      <c r="N598" s="115"/>
      <c r="O598" s="290"/>
      <c r="P598" s="316"/>
      <c r="Q598" s="290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</row>
    <row r="599">
      <c r="A599" s="115"/>
      <c r="B599" s="265"/>
      <c r="C599" s="115"/>
      <c r="D599" s="115"/>
      <c r="E599" s="115"/>
      <c r="F599" s="115"/>
      <c r="G599" s="115"/>
      <c r="H599" s="115"/>
      <c r="I599" s="115"/>
      <c r="J599" s="115"/>
      <c r="K599" s="316"/>
      <c r="L599" s="265"/>
      <c r="M599" s="115"/>
      <c r="N599" s="115"/>
      <c r="O599" s="290"/>
      <c r="P599" s="316"/>
      <c r="Q599" s="290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</row>
    <row r="600">
      <c r="A600" s="115"/>
      <c r="B600" s="265"/>
      <c r="C600" s="115"/>
      <c r="D600" s="115"/>
      <c r="E600" s="115"/>
      <c r="F600" s="115"/>
      <c r="G600" s="115"/>
      <c r="H600" s="115"/>
      <c r="I600" s="115"/>
      <c r="J600" s="115"/>
      <c r="K600" s="316"/>
      <c r="L600" s="265"/>
      <c r="M600" s="115"/>
      <c r="N600" s="115"/>
      <c r="O600" s="290"/>
      <c r="P600" s="316"/>
      <c r="Q600" s="290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</row>
    <row r="601">
      <c r="A601" s="115"/>
      <c r="B601" s="265"/>
      <c r="C601" s="115"/>
      <c r="D601" s="115"/>
      <c r="E601" s="115"/>
      <c r="F601" s="115"/>
      <c r="G601" s="115"/>
      <c r="H601" s="115"/>
      <c r="I601" s="115"/>
      <c r="J601" s="115"/>
      <c r="K601" s="316"/>
      <c r="L601" s="265"/>
      <c r="M601" s="115"/>
      <c r="N601" s="115"/>
      <c r="O601" s="290"/>
      <c r="P601" s="316"/>
      <c r="Q601" s="290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</row>
    <row r="602">
      <c r="A602" s="115"/>
      <c r="B602" s="265"/>
      <c r="C602" s="115"/>
      <c r="D602" s="115"/>
      <c r="E602" s="115"/>
      <c r="F602" s="115"/>
      <c r="G602" s="115"/>
      <c r="H602" s="115"/>
      <c r="I602" s="115"/>
      <c r="J602" s="115"/>
      <c r="K602" s="316"/>
      <c r="L602" s="265"/>
      <c r="M602" s="115"/>
      <c r="N602" s="115"/>
      <c r="O602" s="290"/>
      <c r="P602" s="316"/>
      <c r="Q602" s="290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</row>
    <row r="603">
      <c r="A603" s="115"/>
      <c r="B603" s="265"/>
      <c r="C603" s="115"/>
      <c r="D603" s="115"/>
      <c r="E603" s="115"/>
      <c r="F603" s="115"/>
      <c r="G603" s="115"/>
      <c r="H603" s="115"/>
      <c r="I603" s="115"/>
      <c r="J603" s="115"/>
      <c r="K603" s="316"/>
      <c r="L603" s="265"/>
      <c r="M603" s="115"/>
      <c r="N603" s="115"/>
      <c r="O603" s="290"/>
      <c r="P603" s="316"/>
      <c r="Q603" s="290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</row>
    <row r="604">
      <c r="A604" s="115"/>
      <c r="B604" s="265"/>
      <c r="C604" s="115"/>
      <c r="D604" s="115"/>
      <c r="E604" s="115"/>
      <c r="F604" s="115"/>
      <c r="G604" s="115"/>
      <c r="H604" s="115"/>
      <c r="I604" s="115"/>
      <c r="J604" s="115"/>
      <c r="K604" s="316"/>
      <c r="L604" s="265"/>
      <c r="M604" s="115"/>
      <c r="N604" s="115"/>
      <c r="O604" s="290"/>
      <c r="P604" s="316"/>
      <c r="Q604" s="290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</row>
    <row r="605">
      <c r="A605" s="115"/>
      <c r="B605" s="265"/>
      <c r="C605" s="115"/>
      <c r="D605" s="115"/>
      <c r="E605" s="115"/>
      <c r="F605" s="115"/>
      <c r="G605" s="115"/>
      <c r="H605" s="115"/>
      <c r="I605" s="115"/>
      <c r="J605" s="115"/>
      <c r="K605" s="316"/>
      <c r="L605" s="265"/>
      <c r="M605" s="115"/>
      <c r="N605" s="115"/>
      <c r="O605" s="290"/>
      <c r="P605" s="316"/>
      <c r="Q605" s="290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</row>
    <row r="606">
      <c r="A606" s="115"/>
      <c r="B606" s="265"/>
      <c r="C606" s="115"/>
      <c r="D606" s="115"/>
      <c r="E606" s="115"/>
      <c r="F606" s="115"/>
      <c r="G606" s="115"/>
      <c r="H606" s="115"/>
      <c r="I606" s="115"/>
      <c r="J606" s="115"/>
      <c r="K606" s="316"/>
      <c r="L606" s="265"/>
      <c r="M606" s="115"/>
      <c r="N606" s="115"/>
      <c r="O606" s="290"/>
      <c r="P606" s="316"/>
      <c r="Q606" s="290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</row>
    <row r="607">
      <c r="A607" s="115"/>
      <c r="B607" s="265"/>
      <c r="C607" s="115"/>
      <c r="D607" s="115"/>
      <c r="E607" s="115"/>
      <c r="F607" s="115"/>
      <c r="G607" s="115"/>
      <c r="H607" s="115"/>
      <c r="I607" s="115"/>
      <c r="J607" s="115"/>
      <c r="K607" s="316"/>
      <c r="L607" s="265"/>
      <c r="M607" s="115"/>
      <c r="N607" s="115"/>
      <c r="O607" s="290"/>
      <c r="P607" s="316"/>
      <c r="Q607" s="290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</row>
    <row r="608">
      <c r="A608" s="115"/>
      <c r="B608" s="265"/>
      <c r="C608" s="115"/>
      <c r="D608" s="115"/>
      <c r="E608" s="115"/>
      <c r="F608" s="115"/>
      <c r="G608" s="115"/>
      <c r="H608" s="115"/>
      <c r="I608" s="115"/>
      <c r="J608" s="115"/>
      <c r="K608" s="316"/>
      <c r="L608" s="265"/>
      <c r="M608" s="115"/>
      <c r="N608" s="115"/>
      <c r="O608" s="290"/>
      <c r="P608" s="316"/>
      <c r="Q608" s="290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</row>
    <row r="609">
      <c r="A609" s="115"/>
      <c r="B609" s="265"/>
      <c r="C609" s="115"/>
      <c r="D609" s="115"/>
      <c r="E609" s="115"/>
      <c r="F609" s="115"/>
      <c r="G609" s="115"/>
      <c r="H609" s="115"/>
      <c r="I609" s="115"/>
      <c r="J609" s="115"/>
      <c r="K609" s="316"/>
      <c r="L609" s="265"/>
      <c r="M609" s="115"/>
      <c r="N609" s="115"/>
      <c r="O609" s="290"/>
      <c r="P609" s="316"/>
      <c r="Q609" s="290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</row>
    <row r="610">
      <c r="A610" s="115"/>
      <c r="B610" s="265"/>
      <c r="C610" s="115"/>
      <c r="D610" s="115"/>
      <c r="E610" s="115"/>
      <c r="F610" s="115"/>
      <c r="G610" s="115"/>
      <c r="H610" s="115"/>
      <c r="I610" s="115"/>
      <c r="J610" s="115"/>
      <c r="K610" s="316"/>
      <c r="L610" s="265"/>
      <c r="M610" s="115"/>
      <c r="N610" s="115"/>
      <c r="O610" s="290"/>
      <c r="P610" s="316"/>
      <c r="Q610" s="290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</row>
    <row r="611">
      <c r="A611" s="115"/>
      <c r="B611" s="265"/>
      <c r="C611" s="115"/>
      <c r="D611" s="115"/>
      <c r="E611" s="115"/>
      <c r="F611" s="115"/>
      <c r="G611" s="115"/>
      <c r="H611" s="115"/>
      <c r="I611" s="115"/>
      <c r="J611" s="115"/>
      <c r="K611" s="316"/>
      <c r="L611" s="265"/>
      <c r="M611" s="115"/>
      <c r="N611" s="115"/>
      <c r="O611" s="290"/>
      <c r="P611" s="316"/>
      <c r="Q611" s="290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</row>
    <row r="612">
      <c r="A612" s="115"/>
      <c r="B612" s="265"/>
      <c r="C612" s="115"/>
      <c r="D612" s="115"/>
      <c r="E612" s="115"/>
      <c r="F612" s="115"/>
      <c r="G612" s="115"/>
      <c r="H612" s="115"/>
      <c r="I612" s="115"/>
      <c r="J612" s="115"/>
      <c r="K612" s="316"/>
      <c r="L612" s="265"/>
      <c r="M612" s="115"/>
      <c r="N612" s="115"/>
      <c r="O612" s="290"/>
      <c r="P612" s="316"/>
      <c r="Q612" s="290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</row>
    <row r="613">
      <c r="A613" s="115"/>
      <c r="B613" s="265"/>
      <c r="C613" s="115"/>
      <c r="D613" s="115"/>
      <c r="E613" s="115"/>
      <c r="F613" s="115"/>
      <c r="G613" s="115"/>
      <c r="H613" s="115"/>
      <c r="I613" s="115"/>
      <c r="J613" s="115"/>
      <c r="K613" s="316"/>
      <c r="L613" s="265"/>
      <c r="M613" s="115"/>
      <c r="N613" s="115"/>
      <c r="O613" s="290"/>
      <c r="P613" s="316"/>
      <c r="Q613" s="290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</row>
    <row r="614">
      <c r="A614" s="115"/>
      <c r="B614" s="265"/>
      <c r="C614" s="115"/>
      <c r="D614" s="115"/>
      <c r="E614" s="115"/>
      <c r="F614" s="115"/>
      <c r="G614" s="115"/>
      <c r="H614" s="115"/>
      <c r="I614" s="115"/>
      <c r="J614" s="115"/>
      <c r="K614" s="316"/>
      <c r="L614" s="265"/>
      <c r="M614" s="115"/>
      <c r="N614" s="115"/>
      <c r="O614" s="290"/>
      <c r="P614" s="316"/>
      <c r="Q614" s="290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</row>
    <row r="615">
      <c r="A615" s="115"/>
      <c r="B615" s="265"/>
      <c r="C615" s="115"/>
      <c r="D615" s="115"/>
      <c r="E615" s="115"/>
      <c r="F615" s="115"/>
      <c r="G615" s="115"/>
      <c r="H615" s="115"/>
      <c r="I615" s="115"/>
      <c r="J615" s="115"/>
      <c r="K615" s="316"/>
      <c r="L615" s="265"/>
      <c r="M615" s="115"/>
      <c r="N615" s="115"/>
      <c r="O615" s="290"/>
      <c r="P615" s="316"/>
      <c r="Q615" s="290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</row>
    <row r="616">
      <c r="A616" s="115"/>
      <c r="B616" s="265"/>
      <c r="C616" s="115"/>
      <c r="D616" s="115"/>
      <c r="E616" s="115"/>
      <c r="F616" s="115"/>
      <c r="G616" s="115"/>
      <c r="H616" s="115"/>
      <c r="I616" s="115"/>
      <c r="J616" s="115"/>
      <c r="K616" s="316"/>
      <c r="L616" s="265"/>
      <c r="M616" s="115"/>
      <c r="N616" s="115"/>
      <c r="O616" s="290"/>
      <c r="P616" s="316"/>
      <c r="Q616" s="290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</row>
    <row r="617">
      <c r="A617" s="115"/>
      <c r="B617" s="265"/>
      <c r="C617" s="115"/>
      <c r="D617" s="115"/>
      <c r="E617" s="115"/>
      <c r="F617" s="115"/>
      <c r="G617" s="115"/>
      <c r="H617" s="115"/>
      <c r="I617" s="115"/>
      <c r="J617" s="115"/>
      <c r="K617" s="316"/>
      <c r="L617" s="265"/>
      <c r="M617" s="115"/>
      <c r="N617" s="115"/>
      <c r="O617" s="290"/>
      <c r="P617" s="316"/>
      <c r="Q617" s="290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</row>
    <row r="618">
      <c r="A618" s="115"/>
      <c r="B618" s="265"/>
      <c r="C618" s="115"/>
      <c r="D618" s="115"/>
      <c r="E618" s="115"/>
      <c r="F618" s="115"/>
      <c r="G618" s="115"/>
      <c r="H618" s="115"/>
      <c r="I618" s="115"/>
      <c r="J618" s="115"/>
      <c r="K618" s="316"/>
      <c r="L618" s="265"/>
      <c r="M618" s="115"/>
      <c r="N618" s="115"/>
      <c r="O618" s="290"/>
      <c r="P618" s="316"/>
      <c r="Q618" s="290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</row>
    <row r="619">
      <c r="A619" s="115"/>
      <c r="B619" s="265"/>
      <c r="C619" s="115"/>
      <c r="D619" s="115"/>
      <c r="E619" s="115"/>
      <c r="F619" s="115"/>
      <c r="G619" s="115"/>
      <c r="H619" s="115"/>
      <c r="I619" s="115"/>
      <c r="J619" s="115"/>
      <c r="K619" s="316"/>
      <c r="L619" s="265"/>
      <c r="M619" s="115"/>
      <c r="N619" s="115"/>
      <c r="O619" s="290"/>
      <c r="P619" s="316"/>
      <c r="Q619" s="290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</row>
    <row r="620">
      <c r="A620" s="115"/>
      <c r="B620" s="265"/>
      <c r="C620" s="115"/>
      <c r="D620" s="115"/>
      <c r="E620" s="115"/>
      <c r="F620" s="115"/>
      <c r="G620" s="115"/>
      <c r="H620" s="115"/>
      <c r="I620" s="115"/>
      <c r="J620" s="115"/>
      <c r="K620" s="316"/>
      <c r="L620" s="265"/>
      <c r="M620" s="115"/>
      <c r="N620" s="115"/>
      <c r="O620" s="290"/>
      <c r="P620" s="316"/>
      <c r="Q620" s="290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</row>
    <row r="621">
      <c r="A621" s="115"/>
      <c r="B621" s="265"/>
      <c r="C621" s="115"/>
      <c r="D621" s="115"/>
      <c r="E621" s="115"/>
      <c r="F621" s="115"/>
      <c r="G621" s="115"/>
      <c r="H621" s="115"/>
      <c r="I621" s="115"/>
      <c r="J621" s="115"/>
      <c r="K621" s="316"/>
      <c r="L621" s="265"/>
      <c r="M621" s="115"/>
      <c r="N621" s="115"/>
      <c r="O621" s="290"/>
      <c r="P621" s="316"/>
      <c r="Q621" s="290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</row>
    <row r="622">
      <c r="A622" s="115"/>
      <c r="B622" s="265"/>
      <c r="C622" s="115"/>
      <c r="D622" s="115"/>
      <c r="E622" s="115"/>
      <c r="F622" s="115"/>
      <c r="G622" s="115"/>
      <c r="H622" s="115"/>
      <c r="I622" s="115"/>
      <c r="J622" s="115"/>
      <c r="K622" s="316"/>
      <c r="L622" s="265"/>
      <c r="M622" s="115"/>
      <c r="N622" s="115"/>
      <c r="O622" s="290"/>
      <c r="P622" s="316"/>
      <c r="Q622" s="290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</row>
    <row r="623">
      <c r="A623" s="115"/>
      <c r="B623" s="265"/>
      <c r="C623" s="115"/>
      <c r="D623" s="115"/>
      <c r="E623" s="115"/>
      <c r="F623" s="115"/>
      <c r="G623" s="115"/>
      <c r="H623" s="115"/>
      <c r="I623" s="115"/>
      <c r="J623" s="115"/>
      <c r="K623" s="316"/>
      <c r="L623" s="265"/>
      <c r="M623" s="115"/>
      <c r="N623" s="115"/>
      <c r="O623" s="290"/>
      <c r="P623" s="316"/>
      <c r="Q623" s="290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</row>
    <row r="624">
      <c r="A624" s="115"/>
      <c r="B624" s="265"/>
      <c r="C624" s="115"/>
      <c r="D624" s="115"/>
      <c r="E624" s="115"/>
      <c r="F624" s="115"/>
      <c r="G624" s="115"/>
      <c r="H624" s="115"/>
      <c r="I624" s="115"/>
      <c r="J624" s="115"/>
      <c r="K624" s="316"/>
      <c r="L624" s="265"/>
      <c r="M624" s="115"/>
      <c r="N624" s="115"/>
      <c r="O624" s="290"/>
      <c r="P624" s="316"/>
      <c r="Q624" s="290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</row>
    <row r="625">
      <c r="A625" s="115"/>
      <c r="B625" s="265"/>
      <c r="C625" s="115"/>
      <c r="D625" s="115"/>
      <c r="E625" s="115"/>
      <c r="F625" s="115"/>
      <c r="G625" s="115"/>
      <c r="H625" s="115"/>
      <c r="I625" s="115"/>
      <c r="J625" s="115"/>
      <c r="K625" s="316"/>
      <c r="L625" s="265"/>
      <c r="M625" s="115"/>
      <c r="N625" s="115"/>
      <c r="O625" s="290"/>
      <c r="P625" s="316"/>
      <c r="Q625" s="290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</row>
    <row r="626">
      <c r="A626" s="115"/>
      <c r="B626" s="265"/>
      <c r="C626" s="115"/>
      <c r="D626" s="115"/>
      <c r="E626" s="115"/>
      <c r="F626" s="115"/>
      <c r="G626" s="115"/>
      <c r="H626" s="115"/>
      <c r="I626" s="115"/>
      <c r="J626" s="115"/>
      <c r="K626" s="316"/>
      <c r="L626" s="265"/>
      <c r="M626" s="115"/>
      <c r="N626" s="115"/>
      <c r="O626" s="290"/>
      <c r="P626" s="316"/>
      <c r="Q626" s="290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</row>
    <row r="627">
      <c r="A627" s="115"/>
      <c r="B627" s="265"/>
      <c r="C627" s="115"/>
      <c r="D627" s="115"/>
      <c r="E627" s="115"/>
      <c r="F627" s="115"/>
      <c r="G627" s="115"/>
      <c r="H627" s="115"/>
      <c r="I627" s="115"/>
      <c r="J627" s="115"/>
      <c r="K627" s="316"/>
      <c r="L627" s="265"/>
      <c r="M627" s="115"/>
      <c r="N627" s="115"/>
      <c r="O627" s="290"/>
      <c r="P627" s="316"/>
      <c r="Q627" s="290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</row>
    <row r="628">
      <c r="A628" s="115"/>
      <c r="B628" s="265"/>
      <c r="C628" s="115"/>
      <c r="D628" s="115"/>
      <c r="E628" s="115"/>
      <c r="F628" s="115"/>
      <c r="G628" s="115"/>
      <c r="H628" s="115"/>
      <c r="I628" s="115"/>
      <c r="J628" s="115"/>
      <c r="K628" s="316"/>
      <c r="L628" s="265"/>
      <c r="M628" s="115"/>
      <c r="N628" s="115"/>
      <c r="O628" s="290"/>
      <c r="P628" s="316"/>
      <c r="Q628" s="290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</row>
    <row r="629">
      <c r="A629" s="115"/>
      <c r="B629" s="265"/>
      <c r="C629" s="115"/>
      <c r="D629" s="115"/>
      <c r="E629" s="115"/>
      <c r="F629" s="115"/>
      <c r="G629" s="115"/>
      <c r="H629" s="115"/>
      <c r="I629" s="115"/>
      <c r="J629" s="115"/>
      <c r="K629" s="316"/>
      <c r="L629" s="265"/>
      <c r="M629" s="115"/>
      <c r="N629" s="115"/>
      <c r="O629" s="290"/>
      <c r="P629" s="316"/>
      <c r="Q629" s="290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</row>
    <row r="630">
      <c r="A630" s="115"/>
      <c r="B630" s="265"/>
      <c r="C630" s="115"/>
      <c r="D630" s="115"/>
      <c r="E630" s="115"/>
      <c r="F630" s="115"/>
      <c r="G630" s="115"/>
      <c r="H630" s="115"/>
      <c r="I630" s="115"/>
      <c r="J630" s="115"/>
      <c r="K630" s="316"/>
      <c r="L630" s="265"/>
      <c r="M630" s="115"/>
      <c r="N630" s="115"/>
      <c r="O630" s="290"/>
      <c r="P630" s="316"/>
      <c r="Q630" s="290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</row>
    <row r="631">
      <c r="A631" s="115"/>
      <c r="B631" s="265"/>
      <c r="C631" s="115"/>
      <c r="D631" s="115"/>
      <c r="E631" s="115"/>
      <c r="F631" s="115"/>
      <c r="G631" s="115"/>
      <c r="H631" s="115"/>
      <c r="I631" s="115"/>
      <c r="J631" s="115"/>
      <c r="K631" s="316"/>
      <c r="L631" s="265"/>
      <c r="M631" s="115"/>
      <c r="N631" s="115"/>
      <c r="O631" s="290"/>
      <c r="P631" s="316"/>
      <c r="Q631" s="290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</row>
    <row r="632">
      <c r="A632" s="115"/>
      <c r="B632" s="265"/>
      <c r="C632" s="115"/>
      <c r="D632" s="115"/>
      <c r="E632" s="115"/>
      <c r="F632" s="115"/>
      <c r="G632" s="115"/>
      <c r="H632" s="115"/>
      <c r="I632" s="115"/>
      <c r="J632" s="115"/>
      <c r="K632" s="316"/>
      <c r="L632" s="265"/>
      <c r="M632" s="115"/>
      <c r="N632" s="115"/>
      <c r="O632" s="290"/>
      <c r="P632" s="316"/>
      <c r="Q632" s="290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</row>
    <row r="633">
      <c r="A633" s="115"/>
      <c r="B633" s="265"/>
      <c r="C633" s="115"/>
      <c r="D633" s="115"/>
      <c r="E633" s="115"/>
      <c r="F633" s="115"/>
      <c r="G633" s="115"/>
      <c r="H633" s="115"/>
      <c r="I633" s="115"/>
      <c r="J633" s="115"/>
      <c r="K633" s="316"/>
      <c r="L633" s="265"/>
      <c r="M633" s="115"/>
      <c r="N633" s="115"/>
      <c r="O633" s="290"/>
      <c r="P633" s="316"/>
      <c r="Q633" s="290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</row>
    <row r="634">
      <c r="A634" s="115"/>
      <c r="B634" s="265"/>
      <c r="C634" s="115"/>
      <c r="D634" s="115"/>
      <c r="E634" s="115"/>
      <c r="F634" s="115"/>
      <c r="G634" s="115"/>
      <c r="H634" s="115"/>
      <c r="I634" s="115"/>
      <c r="J634" s="115"/>
      <c r="K634" s="316"/>
      <c r="L634" s="265"/>
      <c r="M634" s="115"/>
      <c r="N634" s="115"/>
      <c r="O634" s="290"/>
      <c r="P634" s="316"/>
      <c r="Q634" s="290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</row>
    <row r="635">
      <c r="A635" s="115"/>
      <c r="B635" s="265"/>
      <c r="C635" s="115"/>
      <c r="D635" s="115"/>
      <c r="E635" s="115"/>
      <c r="F635" s="115"/>
      <c r="G635" s="115"/>
      <c r="H635" s="115"/>
      <c r="I635" s="115"/>
      <c r="J635" s="115"/>
      <c r="K635" s="316"/>
      <c r="L635" s="265"/>
      <c r="M635" s="115"/>
      <c r="N635" s="115"/>
      <c r="O635" s="290"/>
      <c r="P635" s="316"/>
      <c r="Q635" s="290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</row>
    <row r="636">
      <c r="A636" s="115"/>
      <c r="B636" s="265"/>
      <c r="C636" s="115"/>
      <c r="D636" s="115"/>
      <c r="E636" s="115"/>
      <c r="F636" s="115"/>
      <c r="G636" s="115"/>
      <c r="H636" s="115"/>
      <c r="I636" s="115"/>
      <c r="J636" s="115"/>
      <c r="K636" s="316"/>
      <c r="L636" s="265"/>
      <c r="M636" s="115"/>
      <c r="N636" s="115"/>
      <c r="O636" s="290"/>
      <c r="P636" s="316"/>
      <c r="Q636" s="290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</row>
    <row r="637">
      <c r="A637" s="115"/>
      <c r="B637" s="265"/>
      <c r="C637" s="115"/>
      <c r="D637" s="115"/>
      <c r="E637" s="115"/>
      <c r="F637" s="115"/>
      <c r="G637" s="115"/>
      <c r="H637" s="115"/>
      <c r="I637" s="115"/>
      <c r="J637" s="115"/>
      <c r="K637" s="316"/>
      <c r="L637" s="265"/>
      <c r="M637" s="115"/>
      <c r="N637" s="115"/>
      <c r="O637" s="290"/>
      <c r="P637" s="316"/>
      <c r="Q637" s="290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</row>
    <row r="638">
      <c r="A638" s="115"/>
      <c r="B638" s="265"/>
      <c r="C638" s="115"/>
      <c r="D638" s="115"/>
      <c r="E638" s="115"/>
      <c r="F638" s="115"/>
      <c r="G638" s="115"/>
      <c r="H638" s="115"/>
      <c r="I638" s="115"/>
      <c r="J638" s="115"/>
      <c r="K638" s="316"/>
      <c r="L638" s="265"/>
      <c r="M638" s="115"/>
      <c r="N638" s="115"/>
      <c r="O638" s="290"/>
      <c r="P638" s="316"/>
      <c r="Q638" s="290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</row>
    <row r="639">
      <c r="A639" s="115"/>
      <c r="B639" s="265"/>
      <c r="C639" s="115"/>
      <c r="D639" s="115"/>
      <c r="E639" s="115"/>
      <c r="F639" s="115"/>
      <c r="G639" s="115"/>
      <c r="H639" s="115"/>
      <c r="I639" s="115"/>
      <c r="J639" s="115"/>
      <c r="K639" s="316"/>
      <c r="L639" s="265"/>
      <c r="M639" s="115"/>
      <c r="N639" s="115"/>
      <c r="O639" s="290"/>
      <c r="P639" s="316"/>
      <c r="Q639" s="290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</row>
    <row r="640">
      <c r="A640" s="115"/>
      <c r="B640" s="265"/>
      <c r="C640" s="115"/>
      <c r="D640" s="115"/>
      <c r="E640" s="115"/>
      <c r="F640" s="115"/>
      <c r="G640" s="115"/>
      <c r="H640" s="115"/>
      <c r="I640" s="115"/>
      <c r="J640" s="115"/>
      <c r="K640" s="316"/>
      <c r="L640" s="265"/>
      <c r="M640" s="115"/>
      <c r="N640" s="115"/>
      <c r="O640" s="290"/>
      <c r="P640" s="316"/>
      <c r="Q640" s="290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</row>
    <row r="641">
      <c r="A641" s="115"/>
      <c r="B641" s="265"/>
      <c r="C641" s="115"/>
      <c r="D641" s="115"/>
      <c r="E641" s="115"/>
      <c r="F641" s="115"/>
      <c r="G641" s="115"/>
      <c r="H641" s="115"/>
      <c r="I641" s="115"/>
      <c r="J641" s="115"/>
      <c r="K641" s="316"/>
      <c r="L641" s="265"/>
      <c r="M641" s="115"/>
      <c r="N641" s="115"/>
      <c r="O641" s="290"/>
      <c r="P641" s="316"/>
      <c r="Q641" s="290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</row>
    <row r="642">
      <c r="A642" s="115"/>
      <c r="B642" s="265"/>
      <c r="C642" s="115"/>
      <c r="D642" s="115"/>
      <c r="E642" s="115"/>
      <c r="F642" s="115"/>
      <c r="G642" s="115"/>
      <c r="H642" s="115"/>
      <c r="I642" s="115"/>
      <c r="J642" s="115"/>
      <c r="K642" s="316"/>
      <c r="L642" s="265"/>
      <c r="M642" s="115"/>
      <c r="N642" s="115"/>
      <c r="O642" s="290"/>
      <c r="P642" s="316"/>
      <c r="Q642" s="290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</row>
    <row r="643">
      <c r="A643" s="115"/>
      <c r="B643" s="265"/>
      <c r="C643" s="115"/>
      <c r="D643" s="115"/>
      <c r="E643" s="115"/>
      <c r="F643" s="115"/>
      <c r="G643" s="115"/>
      <c r="H643" s="115"/>
      <c r="I643" s="115"/>
      <c r="J643" s="115"/>
      <c r="K643" s="316"/>
      <c r="L643" s="265"/>
      <c r="M643" s="115"/>
      <c r="N643" s="115"/>
      <c r="O643" s="290"/>
      <c r="P643" s="316"/>
      <c r="Q643" s="290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</row>
    <row r="644">
      <c r="A644" s="115"/>
      <c r="B644" s="265"/>
      <c r="C644" s="115"/>
      <c r="D644" s="115"/>
      <c r="E644" s="115"/>
      <c r="F644" s="115"/>
      <c r="G644" s="115"/>
      <c r="H644" s="115"/>
      <c r="I644" s="115"/>
      <c r="J644" s="115"/>
      <c r="K644" s="316"/>
      <c r="L644" s="265"/>
      <c r="M644" s="115"/>
      <c r="N644" s="115"/>
      <c r="O644" s="290"/>
      <c r="P644" s="316"/>
      <c r="Q644" s="290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</row>
    <row r="645">
      <c r="A645" s="115"/>
      <c r="B645" s="265"/>
      <c r="C645" s="115"/>
      <c r="D645" s="115"/>
      <c r="E645" s="115"/>
      <c r="F645" s="115"/>
      <c r="G645" s="115"/>
      <c r="H645" s="115"/>
      <c r="I645" s="115"/>
      <c r="J645" s="115"/>
      <c r="K645" s="316"/>
      <c r="L645" s="265"/>
      <c r="M645" s="115"/>
      <c r="N645" s="115"/>
      <c r="O645" s="290"/>
      <c r="P645" s="316"/>
      <c r="Q645" s="290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</row>
    <row r="646">
      <c r="A646" s="115"/>
      <c r="B646" s="265"/>
      <c r="C646" s="115"/>
      <c r="D646" s="115"/>
      <c r="E646" s="115"/>
      <c r="F646" s="115"/>
      <c r="G646" s="115"/>
      <c r="H646" s="115"/>
      <c r="I646" s="115"/>
      <c r="J646" s="115"/>
      <c r="K646" s="316"/>
      <c r="L646" s="265"/>
      <c r="M646" s="115"/>
      <c r="N646" s="115"/>
      <c r="O646" s="290"/>
      <c r="P646" s="316"/>
      <c r="Q646" s="290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</row>
    <row r="647">
      <c r="A647" s="115"/>
      <c r="B647" s="265"/>
      <c r="C647" s="115"/>
      <c r="D647" s="115"/>
      <c r="E647" s="115"/>
      <c r="F647" s="115"/>
      <c r="G647" s="115"/>
      <c r="H647" s="115"/>
      <c r="I647" s="115"/>
      <c r="J647" s="115"/>
      <c r="K647" s="316"/>
      <c r="L647" s="265"/>
      <c r="M647" s="115"/>
      <c r="N647" s="115"/>
      <c r="O647" s="290"/>
      <c r="P647" s="316"/>
      <c r="Q647" s="290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</row>
    <row r="648">
      <c r="A648" s="115"/>
      <c r="B648" s="265"/>
      <c r="C648" s="115"/>
      <c r="D648" s="115"/>
      <c r="E648" s="115"/>
      <c r="F648" s="115"/>
      <c r="G648" s="115"/>
      <c r="H648" s="115"/>
      <c r="I648" s="115"/>
      <c r="J648" s="115"/>
      <c r="K648" s="316"/>
      <c r="L648" s="265"/>
      <c r="M648" s="115"/>
      <c r="N648" s="115"/>
      <c r="O648" s="290"/>
      <c r="P648" s="316"/>
      <c r="Q648" s="290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</row>
    <row r="649">
      <c r="A649" s="115"/>
      <c r="B649" s="265"/>
      <c r="C649" s="115"/>
      <c r="D649" s="115"/>
      <c r="E649" s="115"/>
      <c r="F649" s="115"/>
      <c r="G649" s="115"/>
      <c r="H649" s="115"/>
      <c r="I649" s="115"/>
      <c r="J649" s="115"/>
      <c r="K649" s="316"/>
      <c r="L649" s="265"/>
      <c r="M649" s="115"/>
      <c r="N649" s="115"/>
      <c r="O649" s="290"/>
      <c r="P649" s="316"/>
      <c r="Q649" s="290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</row>
    <row r="650">
      <c r="A650" s="115"/>
      <c r="B650" s="265"/>
      <c r="C650" s="115"/>
      <c r="D650" s="115"/>
      <c r="E650" s="115"/>
      <c r="F650" s="115"/>
      <c r="G650" s="115"/>
      <c r="H650" s="115"/>
      <c r="I650" s="115"/>
      <c r="J650" s="115"/>
      <c r="K650" s="316"/>
      <c r="L650" s="265"/>
      <c r="M650" s="115"/>
      <c r="N650" s="115"/>
      <c r="O650" s="290"/>
      <c r="P650" s="316"/>
      <c r="Q650" s="290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</row>
    <row r="651">
      <c r="A651" s="115"/>
      <c r="B651" s="265"/>
      <c r="C651" s="115"/>
      <c r="D651" s="115"/>
      <c r="E651" s="115"/>
      <c r="F651" s="115"/>
      <c r="G651" s="115"/>
      <c r="H651" s="115"/>
      <c r="I651" s="115"/>
      <c r="J651" s="115"/>
      <c r="K651" s="316"/>
      <c r="L651" s="265"/>
      <c r="M651" s="115"/>
      <c r="N651" s="115"/>
      <c r="O651" s="290"/>
      <c r="P651" s="316"/>
      <c r="Q651" s="290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</row>
    <row r="652">
      <c r="A652" s="115"/>
      <c r="B652" s="265"/>
      <c r="C652" s="115"/>
      <c r="D652" s="115"/>
      <c r="E652" s="115"/>
      <c r="F652" s="115"/>
      <c r="G652" s="115"/>
      <c r="H652" s="115"/>
      <c r="I652" s="115"/>
      <c r="J652" s="115"/>
      <c r="K652" s="316"/>
      <c r="L652" s="265"/>
      <c r="M652" s="115"/>
      <c r="N652" s="115"/>
      <c r="O652" s="290"/>
      <c r="P652" s="316"/>
      <c r="Q652" s="290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</row>
    <row r="653">
      <c r="A653" s="115"/>
      <c r="B653" s="265"/>
      <c r="C653" s="115"/>
      <c r="D653" s="115"/>
      <c r="E653" s="115"/>
      <c r="F653" s="115"/>
      <c r="G653" s="115"/>
      <c r="H653" s="115"/>
      <c r="I653" s="115"/>
      <c r="J653" s="115"/>
      <c r="K653" s="316"/>
      <c r="L653" s="265"/>
      <c r="M653" s="115"/>
      <c r="N653" s="115"/>
      <c r="O653" s="290"/>
      <c r="P653" s="316"/>
      <c r="Q653" s="290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</row>
    <row r="654">
      <c r="A654" s="115"/>
      <c r="B654" s="265"/>
      <c r="C654" s="115"/>
      <c r="D654" s="115"/>
      <c r="E654" s="115"/>
      <c r="F654" s="115"/>
      <c r="G654" s="115"/>
      <c r="H654" s="115"/>
      <c r="I654" s="115"/>
      <c r="J654" s="115"/>
      <c r="K654" s="316"/>
      <c r="L654" s="265"/>
      <c r="M654" s="115"/>
      <c r="N654" s="115"/>
      <c r="O654" s="290"/>
      <c r="P654" s="316"/>
      <c r="Q654" s="290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</row>
    <row r="655">
      <c r="A655" s="115"/>
      <c r="B655" s="265"/>
      <c r="C655" s="115"/>
      <c r="D655" s="115"/>
      <c r="E655" s="115"/>
      <c r="F655" s="115"/>
      <c r="G655" s="115"/>
      <c r="H655" s="115"/>
      <c r="I655" s="115"/>
      <c r="J655" s="115"/>
      <c r="K655" s="316"/>
      <c r="L655" s="265"/>
      <c r="M655" s="115"/>
      <c r="N655" s="115"/>
      <c r="O655" s="290"/>
      <c r="P655" s="316"/>
      <c r="Q655" s="290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</row>
    <row r="656">
      <c r="A656" s="115"/>
      <c r="B656" s="265"/>
      <c r="C656" s="115"/>
      <c r="D656" s="115"/>
      <c r="E656" s="115"/>
      <c r="F656" s="115"/>
      <c r="G656" s="115"/>
      <c r="H656" s="115"/>
      <c r="I656" s="115"/>
      <c r="J656" s="115"/>
      <c r="K656" s="316"/>
      <c r="L656" s="265"/>
      <c r="M656" s="115"/>
      <c r="N656" s="115"/>
      <c r="O656" s="290"/>
      <c r="P656" s="316"/>
      <c r="Q656" s="290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</row>
    <row r="657">
      <c r="A657" s="115"/>
      <c r="B657" s="265"/>
      <c r="C657" s="115"/>
      <c r="D657" s="115"/>
      <c r="E657" s="115"/>
      <c r="F657" s="115"/>
      <c r="G657" s="115"/>
      <c r="H657" s="115"/>
      <c r="I657" s="115"/>
      <c r="J657" s="115"/>
      <c r="K657" s="316"/>
      <c r="L657" s="265"/>
      <c r="M657" s="115"/>
      <c r="N657" s="115"/>
      <c r="O657" s="290"/>
      <c r="P657" s="316"/>
      <c r="Q657" s="290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</row>
    <row r="658">
      <c r="A658" s="115"/>
      <c r="B658" s="265"/>
      <c r="C658" s="115"/>
      <c r="D658" s="115"/>
      <c r="E658" s="115"/>
      <c r="F658" s="115"/>
      <c r="G658" s="115"/>
      <c r="H658" s="115"/>
      <c r="I658" s="115"/>
      <c r="J658" s="115"/>
      <c r="K658" s="316"/>
      <c r="L658" s="265"/>
      <c r="M658" s="115"/>
      <c r="N658" s="115"/>
      <c r="O658" s="290"/>
      <c r="P658" s="316"/>
      <c r="Q658" s="290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</row>
    <row r="659">
      <c r="A659" s="115"/>
      <c r="B659" s="265"/>
      <c r="C659" s="115"/>
      <c r="D659" s="115"/>
      <c r="E659" s="115"/>
      <c r="F659" s="115"/>
      <c r="G659" s="115"/>
      <c r="H659" s="115"/>
      <c r="I659" s="115"/>
      <c r="J659" s="115"/>
      <c r="K659" s="316"/>
      <c r="L659" s="265"/>
      <c r="M659" s="115"/>
      <c r="N659" s="115"/>
      <c r="O659" s="290"/>
      <c r="P659" s="316"/>
      <c r="Q659" s="290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</row>
    <row r="660">
      <c r="A660" s="115"/>
      <c r="B660" s="265"/>
      <c r="C660" s="115"/>
      <c r="D660" s="115"/>
      <c r="E660" s="115"/>
      <c r="F660" s="115"/>
      <c r="G660" s="115"/>
      <c r="H660" s="115"/>
      <c r="I660" s="115"/>
      <c r="J660" s="115"/>
      <c r="K660" s="316"/>
      <c r="L660" s="265"/>
      <c r="M660" s="115"/>
      <c r="N660" s="115"/>
      <c r="O660" s="290"/>
      <c r="P660" s="316"/>
      <c r="Q660" s="290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</row>
    <row r="661">
      <c r="A661" s="115"/>
      <c r="B661" s="265"/>
      <c r="C661" s="115"/>
      <c r="D661" s="115"/>
      <c r="E661" s="115"/>
      <c r="F661" s="115"/>
      <c r="G661" s="115"/>
      <c r="H661" s="115"/>
      <c r="I661" s="115"/>
      <c r="J661" s="115"/>
      <c r="K661" s="316"/>
      <c r="L661" s="265"/>
      <c r="M661" s="115"/>
      <c r="N661" s="115"/>
      <c r="O661" s="290"/>
      <c r="P661" s="316"/>
      <c r="Q661" s="290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</row>
    <row r="662">
      <c r="A662" s="115"/>
      <c r="B662" s="265"/>
      <c r="C662" s="115"/>
      <c r="D662" s="115"/>
      <c r="E662" s="115"/>
      <c r="F662" s="115"/>
      <c r="G662" s="115"/>
      <c r="H662" s="115"/>
      <c r="I662" s="115"/>
      <c r="J662" s="115"/>
      <c r="K662" s="316"/>
      <c r="L662" s="265"/>
      <c r="M662" s="115"/>
      <c r="N662" s="115"/>
      <c r="O662" s="290"/>
      <c r="P662" s="316"/>
      <c r="Q662" s="290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</row>
    <row r="663">
      <c r="A663" s="115"/>
      <c r="B663" s="265"/>
      <c r="C663" s="115"/>
      <c r="D663" s="115"/>
      <c r="E663" s="115"/>
      <c r="F663" s="115"/>
      <c r="G663" s="115"/>
      <c r="H663" s="115"/>
      <c r="I663" s="115"/>
      <c r="J663" s="115"/>
      <c r="K663" s="316"/>
      <c r="L663" s="265"/>
      <c r="M663" s="115"/>
      <c r="N663" s="115"/>
      <c r="O663" s="290"/>
      <c r="P663" s="316"/>
      <c r="Q663" s="290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</row>
    <row r="664">
      <c r="A664" s="115"/>
      <c r="B664" s="265"/>
      <c r="C664" s="115"/>
      <c r="D664" s="115"/>
      <c r="E664" s="115"/>
      <c r="F664" s="115"/>
      <c r="G664" s="115"/>
      <c r="H664" s="115"/>
      <c r="I664" s="115"/>
      <c r="J664" s="115"/>
      <c r="K664" s="316"/>
      <c r="L664" s="265"/>
      <c r="M664" s="115"/>
      <c r="N664" s="115"/>
      <c r="O664" s="290"/>
      <c r="P664" s="316"/>
      <c r="Q664" s="290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</row>
    <row r="665">
      <c r="A665" s="115"/>
      <c r="B665" s="265"/>
      <c r="C665" s="115"/>
      <c r="D665" s="115"/>
      <c r="E665" s="115"/>
      <c r="F665" s="115"/>
      <c r="G665" s="115"/>
      <c r="H665" s="115"/>
      <c r="I665" s="115"/>
      <c r="J665" s="115"/>
      <c r="K665" s="316"/>
      <c r="L665" s="265"/>
      <c r="M665" s="115"/>
      <c r="N665" s="115"/>
      <c r="O665" s="290"/>
      <c r="P665" s="316"/>
      <c r="Q665" s="290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</row>
    <row r="666">
      <c r="A666" s="115"/>
      <c r="B666" s="265"/>
      <c r="C666" s="115"/>
      <c r="D666" s="115"/>
      <c r="E666" s="115"/>
      <c r="F666" s="115"/>
      <c r="G666" s="115"/>
      <c r="H666" s="115"/>
      <c r="I666" s="115"/>
      <c r="J666" s="115"/>
      <c r="K666" s="316"/>
      <c r="L666" s="265"/>
      <c r="M666" s="115"/>
      <c r="N666" s="115"/>
      <c r="O666" s="290"/>
      <c r="P666" s="316"/>
      <c r="Q666" s="290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</row>
    <row r="667">
      <c r="A667" s="115"/>
      <c r="B667" s="265"/>
      <c r="C667" s="115"/>
      <c r="D667" s="115"/>
      <c r="E667" s="115"/>
      <c r="F667" s="115"/>
      <c r="G667" s="115"/>
      <c r="H667" s="115"/>
      <c r="I667" s="115"/>
      <c r="J667" s="115"/>
      <c r="K667" s="316"/>
      <c r="L667" s="265"/>
      <c r="M667" s="115"/>
      <c r="N667" s="115"/>
      <c r="O667" s="290"/>
      <c r="P667" s="316"/>
      <c r="Q667" s="290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</row>
    <row r="668">
      <c r="A668" s="115"/>
      <c r="B668" s="265"/>
      <c r="C668" s="115"/>
      <c r="D668" s="115"/>
      <c r="E668" s="115"/>
      <c r="F668" s="115"/>
      <c r="G668" s="115"/>
      <c r="H668" s="115"/>
      <c r="I668" s="115"/>
      <c r="J668" s="115"/>
      <c r="K668" s="316"/>
      <c r="L668" s="265"/>
      <c r="M668" s="115"/>
      <c r="N668" s="115"/>
      <c r="O668" s="290"/>
      <c r="P668" s="316"/>
      <c r="Q668" s="290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</row>
    <row r="669">
      <c r="A669" s="115"/>
      <c r="B669" s="265"/>
      <c r="C669" s="115"/>
      <c r="D669" s="115"/>
      <c r="E669" s="115"/>
      <c r="F669" s="115"/>
      <c r="G669" s="115"/>
      <c r="H669" s="115"/>
      <c r="I669" s="115"/>
      <c r="J669" s="115"/>
      <c r="K669" s="316"/>
      <c r="L669" s="265"/>
      <c r="M669" s="115"/>
      <c r="N669" s="115"/>
      <c r="O669" s="290"/>
      <c r="P669" s="316"/>
      <c r="Q669" s="290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</row>
    <row r="670">
      <c r="A670" s="115"/>
      <c r="B670" s="265"/>
      <c r="C670" s="115"/>
      <c r="D670" s="115"/>
      <c r="E670" s="115"/>
      <c r="F670" s="115"/>
      <c r="G670" s="115"/>
      <c r="H670" s="115"/>
      <c r="I670" s="115"/>
      <c r="J670" s="115"/>
      <c r="K670" s="316"/>
      <c r="L670" s="265"/>
      <c r="M670" s="115"/>
      <c r="N670" s="115"/>
      <c r="O670" s="290"/>
      <c r="P670" s="316"/>
      <c r="Q670" s="290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</row>
    <row r="671">
      <c r="A671" s="115"/>
      <c r="B671" s="265"/>
      <c r="C671" s="115"/>
      <c r="D671" s="115"/>
      <c r="E671" s="115"/>
      <c r="F671" s="115"/>
      <c r="G671" s="115"/>
      <c r="H671" s="115"/>
      <c r="I671" s="115"/>
      <c r="J671" s="115"/>
      <c r="K671" s="316"/>
      <c r="L671" s="265"/>
      <c r="M671" s="115"/>
      <c r="N671" s="115"/>
      <c r="O671" s="290"/>
      <c r="P671" s="316"/>
      <c r="Q671" s="290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</row>
    <row r="672">
      <c r="A672" s="115"/>
      <c r="B672" s="265"/>
      <c r="C672" s="115"/>
      <c r="D672" s="115"/>
      <c r="E672" s="115"/>
      <c r="F672" s="115"/>
      <c r="G672" s="115"/>
      <c r="H672" s="115"/>
      <c r="I672" s="115"/>
      <c r="J672" s="115"/>
      <c r="K672" s="316"/>
      <c r="L672" s="265"/>
      <c r="M672" s="115"/>
      <c r="N672" s="115"/>
      <c r="O672" s="290"/>
      <c r="P672" s="316"/>
      <c r="Q672" s="290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</row>
    <row r="673">
      <c r="A673" s="115"/>
      <c r="B673" s="265"/>
      <c r="C673" s="115"/>
      <c r="D673" s="115"/>
      <c r="E673" s="115"/>
      <c r="F673" s="115"/>
      <c r="G673" s="115"/>
      <c r="H673" s="115"/>
      <c r="I673" s="115"/>
      <c r="J673" s="115"/>
      <c r="K673" s="316"/>
      <c r="L673" s="265"/>
      <c r="M673" s="115"/>
      <c r="N673" s="115"/>
      <c r="O673" s="290"/>
      <c r="P673" s="316"/>
      <c r="Q673" s="290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</row>
    <row r="674">
      <c r="A674" s="115"/>
      <c r="B674" s="265"/>
      <c r="C674" s="115"/>
      <c r="D674" s="115"/>
      <c r="E674" s="115"/>
      <c r="F674" s="115"/>
      <c r="G674" s="115"/>
      <c r="H674" s="115"/>
      <c r="I674" s="115"/>
      <c r="J674" s="115"/>
      <c r="K674" s="316"/>
      <c r="L674" s="265"/>
      <c r="M674" s="115"/>
      <c r="N674" s="115"/>
      <c r="O674" s="290"/>
      <c r="P674" s="316"/>
      <c r="Q674" s="290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</row>
    <row r="675">
      <c r="A675" s="115"/>
      <c r="B675" s="265"/>
      <c r="C675" s="115"/>
      <c r="D675" s="115"/>
      <c r="E675" s="115"/>
      <c r="F675" s="115"/>
      <c r="G675" s="115"/>
      <c r="H675" s="115"/>
      <c r="I675" s="115"/>
      <c r="J675" s="115"/>
      <c r="K675" s="316"/>
      <c r="L675" s="265"/>
      <c r="M675" s="115"/>
      <c r="N675" s="115"/>
      <c r="O675" s="290"/>
      <c r="P675" s="316"/>
      <c r="Q675" s="290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</row>
    <row r="676">
      <c r="A676" s="115"/>
      <c r="B676" s="265"/>
      <c r="C676" s="115"/>
      <c r="D676" s="115"/>
      <c r="E676" s="115"/>
      <c r="F676" s="115"/>
      <c r="G676" s="115"/>
      <c r="H676" s="115"/>
      <c r="I676" s="115"/>
      <c r="J676" s="115"/>
      <c r="K676" s="316"/>
      <c r="L676" s="265"/>
      <c r="M676" s="115"/>
      <c r="N676" s="115"/>
      <c r="O676" s="290"/>
      <c r="P676" s="316"/>
      <c r="Q676" s="290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</row>
    <row r="677">
      <c r="A677" s="115"/>
      <c r="B677" s="265"/>
      <c r="C677" s="115"/>
      <c r="D677" s="115"/>
      <c r="E677" s="115"/>
      <c r="F677" s="115"/>
      <c r="G677" s="115"/>
      <c r="H677" s="115"/>
      <c r="I677" s="115"/>
      <c r="J677" s="115"/>
      <c r="K677" s="316"/>
      <c r="L677" s="265"/>
      <c r="M677" s="115"/>
      <c r="N677" s="115"/>
      <c r="O677" s="290"/>
      <c r="P677" s="316"/>
      <c r="Q677" s="290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</row>
    <row r="678">
      <c r="A678" s="115"/>
      <c r="B678" s="265"/>
      <c r="C678" s="115"/>
      <c r="D678" s="115"/>
      <c r="E678" s="115"/>
      <c r="F678" s="115"/>
      <c r="G678" s="115"/>
      <c r="H678" s="115"/>
      <c r="I678" s="115"/>
      <c r="J678" s="115"/>
      <c r="K678" s="316"/>
      <c r="L678" s="265"/>
      <c r="M678" s="115"/>
      <c r="N678" s="115"/>
      <c r="O678" s="290"/>
      <c r="P678" s="316"/>
      <c r="Q678" s="290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</row>
    <row r="679">
      <c r="A679" s="115"/>
      <c r="B679" s="265"/>
      <c r="C679" s="115"/>
      <c r="D679" s="115"/>
      <c r="E679" s="115"/>
      <c r="F679" s="115"/>
      <c r="G679" s="115"/>
      <c r="H679" s="115"/>
      <c r="I679" s="115"/>
      <c r="J679" s="115"/>
      <c r="K679" s="316"/>
      <c r="L679" s="265"/>
      <c r="M679" s="115"/>
      <c r="N679" s="115"/>
      <c r="O679" s="290"/>
      <c r="P679" s="316"/>
      <c r="Q679" s="290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</row>
    <row r="680">
      <c r="A680" s="115"/>
      <c r="B680" s="265"/>
      <c r="C680" s="115"/>
      <c r="D680" s="115"/>
      <c r="E680" s="115"/>
      <c r="F680" s="115"/>
      <c r="G680" s="115"/>
      <c r="H680" s="115"/>
      <c r="I680" s="115"/>
      <c r="J680" s="115"/>
      <c r="K680" s="316"/>
      <c r="L680" s="265"/>
      <c r="M680" s="115"/>
      <c r="N680" s="115"/>
      <c r="O680" s="290"/>
      <c r="P680" s="316"/>
      <c r="Q680" s="290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</row>
    <row r="681">
      <c r="A681" s="115"/>
      <c r="B681" s="265"/>
      <c r="C681" s="115"/>
      <c r="D681" s="115"/>
      <c r="E681" s="115"/>
      <c r="F681" s="115"/>
      <c r="G681" s="115"/>
      <c r="H681" s="115"/>
      <c r="I681" s="115"/>
      <c r="J681" s="115"/>
      <c r="K681" s="316"/>
      <c r="L681" s="265"/>
      <c r="M681" s="115"/>
      <c r="N681" s="115"/>
      <c r="O681" s="290"/>
      <c r="P681" s="316"/>
      <c r="Q681" s="290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</row>
    <row r="682">
      <c r="A682" s="115"/>
      <c r="B682" s="265"/>
      <c r="C682" s="115"/>
      <c r="D682" s="115"/>
      <c r="E682" s="115"/>
      <c r="F682" s="115"/>
      <c r="G682" s="115"/>
      <c r="H682" s="115"/>
      <c r="I682" s="115"/>
      <c r="J682" s="115"/>
      <c r="K682" s="316"/>
      <c r="L682" s="265"/>
      <c r="M682" s="115"/>
      <c r="N682" s="115"/>
      <c r="O682" s="290"/>
      <c r="P682" s="316"/>
      <c r="Q682" s="290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</row>
    <row r="683">
      <c r="A683" s="115"/>
      <c r="B683" s="265"/>
      <c r="C683" s="115"/>
      <c r="D683" s="115"/>
      <c r="E683" s="115"/>
      <c r="F683" s="115"/>
      <c r="G683" s="115"/>
      <c r="H683" s="115"/>
      <c r="I683" s="115"/>
      <c r="J683" s="115"/>
      <c r="K683" s="316"/>
      <c r="L683" s="265"/>
      <c r="M683" s="115"/>
      <c r="N683" s="115"/>
      <c r="O683" s="290"/>
      <c r="P683" s="316"/>
      <c r="Q683" s="290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</row>
    <row r="684">
      <c r="A684" s="115"/>
      <c r="B684" s="265"/>
      <c r="C684" s="115"/>
      <c r="D684" s="115"/>
      <c r="E684" s="115"/>
      <c r="F684" s="115"/>
      <c r="G684" s="115"/>
      <c r="H684" s="115"/>
      <c r="I684" s="115"/>
      <c r="J684" s="115"/>
      <c r="K684" s="316"/>
      <c r="L684" s="265"/>
      <c r="M684" s="115"/>
      <c r="N684" s="115"/>
      <c r="O684" s="290"/>
      <c r="P684" s="316"/>
      <c r="Q684" s="290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</row>
    <row r="685">
      <c r="A685" s="115"/>
      <c r="B685" s="265"/>
      <c r="C685" s="115"/>
      <c r="D685" s="115"/>
      <c r="E685" s="115"/>
      <c r="F685" s="115"/>
      <c r="G685" s="115"/>
      <c r="H685" s="115"/>
      <c r="I685" s="115"/>
      <c r="J685" s="115"/>
      <c r="K685" s="316"/>
      <c r="L685" s="265"/>
      <c r="M685" s="115"/>
      <c r="N685" s="115"/>
      <c r="O685" s="290"/>
      <c r="P685" s="316"/>
      <c r="Q685" s="290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</row>
    <row r="686">
      <c r="A686" s="115"/>
      <c r="B686" s="265"/>
      <c r="C686" s="115"/>
      <c r="D686" s="115"/>
      <c r="E686" s="115"/>
      <c r="F686" s="115"/>
      <c r="G686" s="115"/>
      <c r="H686" s="115"/>
      <c r="I686" s="115"/>
      <c r="J686" s="115"/>
      <c r="K686" s="316"/>
      <c r="L686" s="265"/>
      <c r="M686" s="115"/>
      <c r="N686" s="115"/>
      <c r="O686" s="290"/>
      <c r="P686" s="316"/>
      <c r="Q686" s="290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</row>
    <row r="687">
      <c r="A687" s="115"/>
      <c r="B687" s="265"/>
      <c r="C687" s="115"/>
      <c r="D687" s="115"/>
      <c r="E687" s="115"/>
      <c r="F687" s="115"/>
      <c r="G687" s="115"/>
      <c r="H687" s="115"/>
      <c r="I687" s="115"/>
      <c r="J687" s="115"/>
      <c r="K687" s="316"/>
      <c r="L687" s="265"/>
      <c r="M687" s="115"/>
      <c r="N687" s="115"/>
      <c r="O687" s="290"/>
      <c r="P687" s="316"/>
      <c r="Q687" s="290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</row>
    <row r="688">
      <c r="A688" s="115"/>
      <c r="B688" s="265"/>
      <c r="C688" s="115"/>
      <c r="D688" s="115"/>
      <c r="E688" s="115"/>
      <c r="F688" s="115"/>
      <c r="G688" s="115"/>
      <c r="H688" s="115"/>
      <c r="I688" s="115"/>
      <c r="J688" s="115"/>
      <c r="K688" s="316"/>
      <c r="L688" s="265"/>
      <c r="M688" s="115"/>
      <c r="N688" s="115"/>
      <c r="O688" s="290"/>
      <c r="P688" s="316"/>
      <c r="Q688" s="290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</row>
    <row r="689">
      <c r="A689" s="115"/>
      <c r="B689" s="265"/>
      <c r="C689" s="115"/>
      <c r="D689" s="115"/>
      <c r="E689" s="115"/>
      <c r="F689" s="115"/>
      <c r="G689" s="115"/>
      <c r="H689" s="115"/>
      <c r="I689" s="115"/>
      <c r="J689" s="115"/>
      <c r="K689" s="316"/>
      <c r="L689" s="265"/>
      <c r="M689" s="115"/>
      <c r="N689" s="115"/>
      <c r="O689" s="290"/>
      <c r="P689" s="316"/>
      <c r="Q689" s="290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</row>
    <row r="690">
      <c r="A690" s="115"/>
      <c r="B690" s="265"/>
      <c r="C690" s="115"/>
      <c r="D690" s="115"/>
      <c r="E690" s="115"/>
      <c r="F690" s="115"/>
      <c r="G690" s="115"/>
      <c r="H690" s="115"/>
      <c r="I690" s="115"/>
      <c r="J690" s="115"/>
      <c r="K690" s="316"/>
      <c r="L690" s="265"/>
      <c r="M690" s="115"/>
      <c r="N690" s="115"/>
      <c r="O690" s="290"/>
      <c r="P690" s="316"/>
      <c r="Q690" s="290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</row>
    <row r="691">
      <c r="A691" s="115"/>
      <c r="B691" s="265"/>
      <c r="C691" s="115"/>
      <c r="D691" s="115"/>
      <c r="E691" s="115"/>
      <c r="F691" s="115"/>
      <c r="G691" s="115"/>
      <c r="H691" s="115"/>
      <c r="I691" s="115"/>
      <c r="J691" s="115"/>
      <c r="K691" s="316"/>
      <c r="L691" s="265"/>
      <c r="M691" s="115"/>
      <c r="N691" s="115"/>
      <c r="O691" s="290"/>
      <c r="P691" s="316"/>
      <c r="Q691" s="290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</row>
    <row r="692">
      <c r="A692" s="115"/>
      <c r="B692" s="265"/>
      <c r="C692" s="115"/>
      <c r="D692" s="115"/>
      <c r="E692" s="115"/>
      <c r="F692" s="115"/>
      <c r="G692" s="115"/>
      <c r="H692" s="115"/>
      <c r="I692" s="115"/>
      <c r="J692" s="115"/>
      <c r="K692" s="316"/>
      <c r="L692" s="265"/>
      <c r="M692" s="115"/>
      <c r="N692" s="115"/>
      <c r="O692" s="290"/>
      <c r="P692" s="316"/>
      <c r="Q692" s="290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</row>
    <row r="693">
      <c r="A693" s="115"/>
      <c r="B693" s="265"/>
      <c r="C693" s="115"/>
      <c r="D693" s="115"/>
      <c r="E693" s="115"/>
      <c r="F693" s="115"/>
      <c r="G693" s="115"/>
      <c r="H693" s="115"/>
      <c r="I693" s="115"/>
      <c r="J693" s="115"/>
      <c r="K693" s="316"/>
      <c r="L693" s="265"/>
      <c r="M693" s="115"/>
      <c r="N693" s="115"/>
      <c r="O693" s="290"/>
      <c r="P693" s="316"/>
      <c r="Q693" s="290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</row>
    <row r="694">
      <c r="A694" s="115"/>
      <c r="B694" s="265"/>
      <c r="C694" s="115"/>
      <c r="D694" s="115"/>
      <c r="E694" s="115"/>
      <c r="F694" s="115"/>
      <c r="G694" s="115"/>
      <c r="H694" s="115"/>
      <c r="I694" s="115"/>
      <c r="J694" s="115"/>
      <c r="K694" s="316"/>
      <c r="L694" s="265"/>
      <c r="M694" s="115"/>
      <c r="N694" s="115"/>
      <c r="O694" s="290"/>
      <c r="P694" s="316"/>
      <c r="Q694" s="290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</row>
    <row r="695">
      <c r="A695" s="115"/>
      <c r="B695" s="265"/>
      <c r="C695" s="115"/>
      <c r="D695" s="115"/>
      <c r="E695" s="115"/>
      <c r="F695" s="115"/>
      <c r="G695" s="115"/>
      <c r="H695" s="115"/>
      <c r="I695" s="115"/>
      <c r="J695" s="115"/>
      <c r="K695" s="316"/>
      <c r="L695" s="265"/>
      <c r="M695" s="115"/>
      <c r="N695" s="115"/>
      <c r="O695" s="290"/>
      <c r="P695" s="316"/>
      <c r="Q695" s="290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</row>
    <row r="696">
      <c r="A696" s="115"/>
      <c r="B696" s="265"/>
      <c r="C696" s="115"/>
      <c r="D696" s="115"/>
      <c r="E696" s="115"/>
      <c r="F696" s="115"/>
      <c r="G696" s="115"/>
      <c r="H696" s="115"/>
      <c r="I696" s="115"/>
      <c r="J696" s="115"/>
      <c r="K696" s="316"/>
      <c r="L696" s="265"/>
      <c r="M696" s="115"/>
      <c r="N696" s="115"/>
      <c r="O696" s="290"/>
      <c r="P696" s="316"/>
      <c r="Q696" s="290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</row>
    <row r="697">
      <c r="A697" s="115"/>
      <c r="B697" s="265"/>
      <c r="C697" s="115"/>
      <c r="D697" s="115"/>
      <c r="E697" s="115"/>
      <c r="F697" s="115"/>
      <c r="G697" s="115"/>
      <c r="H697" s="115"/>
      <c r="I697" s="115"/>
      <c r="J697" s="115"/>
      <c r="K697" s="316"/>
      <c r="L697" s="265"/>
      <c r="M697" s="115"/>
      <c r="N697" s="115"/>
      <c r="O697" s="290"/>
      <c r="P697" s="316"/>
      <c r="Q697" s="290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</row>
    <row r="698">
      <c r="A698" s="115"/>
      <c r="B698" s="265"/>
      <c r="C698" s="115"/>
      <c r="D698" s="115"/>
      <c r="E698" s="115"/>
      <c r="F698" s="115"/>
      <c r="G698" s="115"/>
      <c r="H698" s="115"/>
      <c r="I698" s="115"/>
      <c r="J698" s="115"/>
      <c r="K698" s="316"/>
      <c r="L698" s="265"/>
      <c r="M698" s="115"/>
      <c r="N698" s="115"/>
      <c r="O698" s="290"/>
      <c r="P698" s="316"/>
      <c r="Q698" s="290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</row>
    <row r="699">
      <c r="A699" s="115"/>
      <c r="B699" s="265"/>
      <c r="C699" s="115"/>
      <c r="D699" s="115"/>
      <c r="E699" s="115"/>
      <c r="F699" s="115"/>
      <c r="G699" s="115"/>
      <c r="H699" s="115"/>
      <c r="I699" s="115"/>
      <c r="J699" s="115"/>
      <c r="K699" s="316"/>
      <c r="L699" s="265"/>
      <c r="M699" s="115"/>
      <c r="N699" s="115"/>
      <c r="O699" s="290"/>
      <c r="P699" s="316"/>
      <c r="Q699" s="290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</row>
    <row r="700">
      <c r="A700" s="115"/>
      <c r="B700" s="265"/>
      <c r="C700" s="115"/>
      <c r="D700" s="115"/>
      <c r="E700" s="115"/>
      <c r="F700" s="115"/>
      <c r="G700" s="115"/>
      <c r="H700" s="115"/>
      <c r="I700" s="115"/>
      <c r="J700" s="115"/>
      <c r="K700" s="316"/>
      <c r="L700" s="265"/>
      <c r="M700" s="115"/>
      <c r="N700" s="115"/>
      <c r="O700" s="290"/>
      <c r="P700" s="316"/>
      <c r="Q700" s="290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</row>
    <row r="701">
      <c r="A701" s="115"/>
      <c r="B701" s="265"/>
      <c r="C701" s="115"/>
      <c r="D701" s="115"/>
      <c r="E701" s="115"/>
      <c r="F701" s="115"/>
      <c r="G701" s="115"/>
      <c r="H701" s="115"/>
      <c r="I701" s="115"/>
      <c r="J701" s="115"/>
      <c r="K701" s="316"/>
      <c r="L701" s="265"/>
      <c r="M701" s="115"/>
      <c r="N701" s="115"/>
      <c r="O701" s="290"/>
      <c r="P701" s="316"/>
      <c r="Q701" s="290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</row>
    <row r="702">
      <c r="A702" s="115"/>
      <c r="B702" s="265"/>
      <c r="C702" s="115"/>
      <c r="D702" s="115"/>
      <c r="E702" s="115"/>
      <c r="F702" s="115"/>
      <c r="G702" s="115"/>
      <c r="H702" s="115"/>
      <c r="I702" s="115"/>
      <c r="J702" s="115"/>
      <c r="K702" s="316"/>
      <c r="L702" s="265"/>
      <c r="M702" s="115"/>
      <c r="N702" s="115"/>
      <c r="O702" s="290"/>
      <c r="P702" s="316"/>
      <c r="Q702" s="290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</row>
    <row r="703">
      <c r="A703" s="115"/>
      <c r="B703" s="265"/>
      <c r="C703" s="115"/>
      <c r="D703" s="115"/>
      <c r="E703" s="115"/>
      <c r="F703" s="115"/>
      <c r="G703" s="115"/>
      <c r="H703" s="115"/>
      <c r="I703" s="115"/>
      <c r="J703" s="115"/>
      <c r="K703" s="316"/>
      <c r="L703" s="265"/>
      <c r="M703" s="115"/>
      <c r="N703" s="115"/>
      <c r="O703" s="290"/>
      <c r="P703" s="316"/>
      <c r="Q703" s="290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</row>
    <row r="704">
      <c r="A704" s="115"/>
      <c r="B704" s="265"/>
      <c r="C704" s="115"/>
      <c r="D704" s="115"/>
      <c r="E704" s="115"/>
      <c r="F704" s="115"/>
      <c r="G704" s="115"/>
      <c r="H704" s="115"/>
      <c r="I704" s="115"/>
      <c r="J704" s="115"/>
      <c r="K704" s="316"/>
      <c r="L704" s="265"/>
      <c r="M704" s="115"/>
      <c r="N704" s="115"/>
      <c r="O704" s="290"/>
      <c r="P704" s="316"/>
      <c r="Q704" s="290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</row>
    <row r="705">
      <c r="A705" s="115"/>
      <c r="B705" s="265"/>
      <c r="C705" s="115"/>
      <c r="D705" s="115"/>
      <c r="E705" s="115"/>
      <c r="F705" s="115"/>
      <c r="G705" s="115"/>
      <c r="H705" s="115"/>
      <c r="I705" s="115"/>
      <c r="J705" s="115"/>
      <c r="K705" s="316"/>
      <c r="L705" s="265"/>
      <c r="M705" s="115"/>
      <c r="N705" s="115"/>
      <c r="O705" s="290"/>
      <c r="P705" s="316"/>
      <c r="Q705" s="290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</row>
    <row r="706">
      <c r="A706" s="115"/>
      <c r="B706" s="265"/>
      <c r="C706" s="115"/>
      <c r="D706" s="115"/>
      <c r="E706" s="115"/>
      <c r="F706" s="115"/>
      <c r="G706" s="115"/>
      <c r="H706" s="115"/>
      <c r="I706" s="115"/>
      <c r="J706" s="115"/>
      <c r="K706" s="316"/>
      <c r="L706" s="265"/>
      <c r="M706" s="115"/>
      <c r="N706" s="115"/>
      <c r="O706" s="290"/>
      <c r="P706" s="316"/>
      <c r="Q706" s="290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</row>
    <row r="707">
      <c r="A707" s="115"/>
      <c r="B707" s="265"/>
      <c r="C707" s="115"/>
      <c r="D707" s="115"/>
      <c r="E707" s="115"/>
      <c r="F707" s="115"/>
      <c r="G707" s="115"/>
      <c r="H707" s="115"/>
      <c r="I707" s="115"/>
      <c r="J707" s="115"/>
      <c r="K707" s="316"/>
      <c r="L707" s="265"/>
      <c r="M707" s="115"/>
      <c r="N707" s="115"/>
      <c r="O707" s="290"/>
      <c r="P707" s="316"/>
      <c r="Q707" s="290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</row>
    <row r="708">
      <c r="A708" s="115"/>
      <c r="B708" s="265"/>
      <c r="C708" s="115"/>
      <c r="D708" s="115"/>
      <c r="E708" s="115"/>
      <c r="F708" s="115"/>
      <c r="G708" s="115"/>
      <c r="H708" s="115"/>
      <c r="I708" s="115"/>
      <c r="J708" s="115"/>
      <c r="K708" s="316"/>
      <c r="L708" s="265"/>
      <c r="M708" s="115"/>
      <c r="N708" s="115"/>
      <c r="O708" s="290"/>
      <c r="P708" s="316"/>
      <c r="Q708" s="290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</row>
    <row r="709">
      <c r="A709" s="115"/>
      <c r="B709" s="265"/>
      <c r="C709" s="115"/>
      <c r="D709" s="115"/>
      <c r="E709" s="115"/>
      <c r="F709" s="115"/>
      <c r="G709" s="115"/>
      <c r="H709" s="115"/>
      <c r="I709" s="115"/>
      <c r="J709" s="115"/>
      <c r="K709" s="316"/>
      <c r="L709" s="265"/>
      <c r="M709" s="115"/>
      <c r="N709" s="115"/>
      <c r="O709" s="290"/>
      <c r="P709" s="316"/>
      <c r="Q709" s="290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</row>
    <row r="710">
      <c r="A710" s="115"/>
      <c r="B710" s="265"/>
      <c r="C710" s="115"/>
      <c r="D710" s="115"/>
      <c r="E710" s="115"/>
      <c r="F710" s="115"/>
      <c r="G710" s="115"/>
      <c r="H710" s="115"/>
      <c r="I710" s="115"/>
      <c r="J710" s="115"/>
      <c r="K710" s="316"/>
      <c r="L710" s="265"/>
      <c r="M710" s="115"/>
      <c r="N710" s="115"/>
      <c r="O710" s="290"/>
      <c r="P710" s="316"/>
      <c r="Q710" s="290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</row>
    <row r="711">
      <c r="A711" s="115"/>
      <c r="B711" s="265"/>
      <c r="C711" s="115"/>
      <c r="D711" s="115"/>
      <c r="E711" s="115"/>
      <c r="F711" s="115"/>
      <c r="G711" s="115"/>
      <c r="H711" s="115"/>
      <c r="I711" s="115"/>
      <c r="J711" s="115"/>
      <c r="K711" s="316"/>
      <c r="L711" s="265"/>
      <c r="M711" s="115"/>
      <c r="N711" s="115"/>
      <c r="O711" s="290"/>
      <c r="P711" s="316"/>
      <c r="Q711" s="290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</row>
    <row r="712">
      <c r="A712" s="115"/>
      <c r="B712" s="265"/>
      <c r="C712" s="115"/>
      <c r="D712" s="115"/>
      <c r="E712" s="115"/>
      <c r="F712" s="115"/>
      <c r="G712" s="115"/>
      <c r="H712" s="115"/>
      <c r="I712" s="115"/>
      <c r="J712" s="115"/>
      <c r="K712" s="316"/>
      <c r="L712" s="265"/>
      <c r="M712" s="115"/>
      <c r="N712" s="115"/>
      <c r="O712" s="290"/>
      <c r="P712" s="316"/>
      <c r="Q712" s="290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</row>
    <row r="713">
      <c r="A713" s="115"/>
      <c r="B713" s="265"/>
      <c r="C713" s="115"/>
      <c r="D713" s="115"/>
      <c r="E713" s="115"/>
      <c r="F713" s="115"/>
      <c r="G713" s="115"/>
      <c r="H713" s="115"/>
      <c r="I713" s="115"/>
      <c r="J713" s="115"/>
      <c r="K713" s="316"/>
      <c r="L713" s="265"/>
      <c r="M713" s="115"/>
      <c r="N713" s="115"/>
      <c r="O713" s="290"/>
      <c r="P713" s="316"/>
      <c r="Q713" s="290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</row>
    <row r="714">
      <c r="A714" s="115"/>
      <c r="B714" s="265"/>
      <c r="C714" s="115"/>
      <c r="D714" s="115"/>
      <c r="E714" s="115"/>
      <c r="F714" s="115"/>
      <c r="G714" s="115"/>
      <c r="H714" s="115"/>
      <c r="I714" s="115"/>
      <c r="J714" s="115"/>
      <c r="K714" s="316"/>
      <c r="L714" s="265"/>
      <c r="M714" s="115"/>
      <c r="N714" s="115"/>
      <c r="O714" s="290"/>
      <c r="P714" s="316"/>
      <c r="Q714" s="290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</row>
    <row r="715">
      <c r="A715" s="115"/>
      <c r="B715" s="265"/>
      <c r="C715" s="115"/>
      <c r="D715" s="115"/>
      <c r="E715" s="115"/>
      <c r="F715" s="115"/>
      <c r="G715" s="115"/>
      <c r="H715" s="115"/>
      <c r="I715" s="115"/>
      <c r="J715" s="115"/>
      <c r="K715" s="316"/>
      <c r="L715" s="265"/>
      <c r="M715" s="115"/>
      <c r="N715" s="115"/>
      <c r="O715" s="290"/>
      <c r="P715" s="316"/>
      <c r="Q715" s="290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</row>
    <row r="716">
      <c r="A716" s="115"/>
      <c r="B716" s="265"/>
      <c r="C716" s="115"/>
      <c r="D716" s="115"/>
      <c r="E716" s="115"/>
      <c r="F716" s="115"/>
      <c r="G716" s="115"/>
      <c r="H716" s="115"/>
      <c r="I716" s="115"/>
      <c r="J716" s="115"/>
      <c r="K716" s="316"/>
      <c r="L716" s="265"/>
      <c r="M716" s="115"/>
      <c r="N716" s="115"/>
      <c r="O716" s="290"/>
      <c r="P716" s="316"/>
      <c r="Q716" s="290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</row>
    <row r="717">
      <c r="A717" s="115"/>
      <c r="B717" s="265"/>
      <c r="C717" s="115"/>
      <c r="D717" s="115"/>
      <c r="E717" s="115"/>
      <c r="F717" s="115"/>
      <c r="G717" s="115"/>
      <c r="H717" s="115"/>
      <c r="I717" s="115"/>
      <c r="J717" s="115"/>
      <c r="K717" s="316"/>
      <c r="L717" s="265"/>
      <c r="M717" s="115"/>
      <c r="N717" s="115"/>
      <c r="O717" s="290"/>
      <c r="P717" s="316"/>
      <c r="Q717" s="290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</row>
    <row r="718">
      <c r="A718" s="115"/>
      <c r="B718" s="265"/>
      <c r="C718" s="115"/>
      <c r="D718" s="115"/>
      <c r="E718" s="115"/>
      <c r="F718" s="115"/>
      <c r="G718" s="115"/>
      <c r="H718" s="115"/>
      <c r="I718" s="115"/>
      <c r="J718" s="115"/>
      <c r="K718" s="316"/>
      <c r="L718" s="265"/>
      <c r="M718" s="115"/>
      <c r="N718" s="115"/>
      <c r="O718" s="290"/>
      <c r="P718" s="316"/>
      <c r="Q718" s="290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</row>
    <row r="719">
      <c r="A719" s="115"/>
      <c r="B719" s="265"/>
      <c r="C719" s="115"/>
      <c r="D719" s="115"/>
      <c r="E719" s="115"/>
      <c r="F719" s="115"/>
      <c r="G719" s="115"/>
      <c r="H719" s="115"/>
      <c r="I719" s="115"/>
      <c r="J719" s="115"/>
      <c r="K719" s="316"/>
      <c r="L719" s="265"/>
      <c r="M719" s="115"/>
      <c r="N719" s="115"/>
      <c r="O719" s="290"/>
      <c r="P719" s="316"/>
      <c r="Q719" s="290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</row>
    <row r="720">
      <c r="A720" s="115"/>
      <c r="B720" s="265"/>
      <c r="C720" s="115"/>
      <c r="D720" s="115"/>
      <c r="E720" s="115"/>
      <c r="F720" s="115"/>
      <c r="G720" s="115"/>
      <c r="H720" s="115"/>
      <c r="I720" s="115"/>
      <c r="J720" s="115"/>
      <c r="K720" s="316"/>
      <c r="L720" s="265"/>
      <c r="M720" s="115"/>
      <c r="N720" s="115"/>
      <c r="O720" s="290"/>
      <c r="P720" s="316"/>
      <c r="Q720" s="290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</row>
    <row r="721">
      <c r="A721" s="115"/>
      <c r="B721" s="265"/>
      <c r="C721" s="115"/>
      <c r="D721" s="115"/>
      <c r="E721" s="115"/>
      <c r="F721" s="115"/>
      <c r="G721" s="115"/>
      <c r="H721" s="115"/>
      <c r="I721" s="115"/>
      <c r="J721" s="115"/>
      <c r="K721" s="316"/>
      <c r="L721" s="265"/>
      <c r="M721" s="115"/>
      <c r="N721" s="115"/>
      <c r="O721" s="290"/>
      <c r="P721" s="316"/>
      <c r="Q721" s="290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</row>
    <row r="722">
      <c r="A722" s="115"/>
      <c r="B722" s="265"/>
      <c r="C722" s="115"/>
      <c r="D722" s="115"/>
      <c r="E722" s="115"/>
      <c r="F722" s="115"/>
      <c r="G722" s="115"/>
      <c r="H722" s="115"/>
      <c r="I722" s="115"/>
      <c r="J722" s="115"/>
      <c r="K722" s="316"/>
      <c r="L722" s="265"/>
      <c r="M722" s="115"/>
      <c r="N722" s="115"/>
      <c r="O722" s="290"/>
      <c r="P722" s="316"/>
      <c r="Q722" s="290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</row>
    <row r="723">
      <c r="A723" s="115"/>
      <c r="B723" s="265"/>
      <c r="C723" s="115"/>
      <c r="D723" s="115"/>
      <c r="E723" s="115"/>
      <c r="F723" s="115"/>
      <c r="G723" s="115"/>
      <c r="H723" s="115"/>
      <c r="I723" s="115"/>
      <c r="J723" s="115"/>
      <c r="K723" s="316"/>
      <c r="L723" s="265"/>
      <c r="M723" s="115"/>
      <c r="N723" s="115"/>
      <c r="O723" s="290"/>
      <c r="P723" s="316"/>
      <c r="Q723" s="290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</row>
    <row r="724">
      <c r="A724" s="115"/>
      <c r="B724" s="265"/>
      <c r="C724" s="115"/>
      <c r="D724" s="115"/>
      <c r="E724" s="115"/>
      <c r="F724" s="115"/>
      <c r="G724" s="115"/>
      <c r="H724" s="115"/>
      <c r="I724" s="115"/>
      <c r="J724" s="115"/>
      <c r="K724" s="316"/>
      <c r="L724" s="265"/>
      <c r="M724" s="115"/>
      <c r="N724" s="115"/>
      <c r="O724" s="290"/>
      <c r="P724" s="316"/>
      <c r="Q724" s="290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</row>
    <row r="725">
      <c r="A725" s="115"/>
      <c r="B725" s="265"/>
      <c r="C725" s="115"/>
      <c r="D725" s="115"/>
      <c r="E725" s="115"/>
      <c r="F725" s="115"/>
      <c r="G725" s="115"/>
      <c r="H725" s="115"/>
      <c r="I725" s="115"/>
      <c r="J725" s="115"/>
      <c r="K725" s="316"/>
      <c r="L725" s="265"/>
      <c r="M725" s="115"/>
      <c r="N725" s="115"/>
      <c r="O725" s="290"/>
      <c r="P725" s="316"/>
      <c r="Q725" s="290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</row>
    <row r="726">
      <c r="A726" s="115"/>
      <c r="B726" s="265"/>
      <c r="C726" s="115"/>
      <c r="D726" s="115"/>
      <c r="E726" s="115"/>
      <c r="F726" s="115"/>
      <c r="G726" s="115"/>
      <c r="H726" s="115"/>
      <c r="I726" s="115"/>
      <c r="J726" s="115"/>
      <c r="K726" s="316"/>
      <c r="L726" s="265"/>
      <c r="M726" s="115"/>
      <c r="N726" s="115"/>
      <c r="O726" s="290"/>
      <c r="P726" s="316"/>
      <c r="Q726" s="290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</row>
    <row r="727">
      <c r="A727" s="115"/>
      <c r="B727" s="265"/>
      <c r="C727" s="115"/>
      <c r="D727" s="115"/>
      <c r="E727" s="115"/>
      <c r="F727" s="115"/>
      <c r="G727" s="115"/>
      <c r="H727" s="115"/>
      <c r="I727" s="115"/>
      <c r="J727" s="115"/>
      <c r="K727" s="316"/>
      <c r="L727" s="265"/>
      <c r="M727" s="115"/>
      <c r="N727" s="115"/>
      <c r="O727" s="290"/>
      <c r="P727" s="316"/>
      <c r="Q727" s="290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</row>
    <row r="728">
      <c r="A728" s="115"/>
      <c r="B728" s="265"/>
      <c r="C728" s="115"/>
      <c r="D728" s="115"/>
      <c r="E728" s="115"/>
      <c r="F728" s="115"/>
      <c r="G728" s="115"/>
      <c r="H728" s="115"/>
      <c r="I728" s="115"/>
      <c r="J728" s="115"/>
      <c r="K728" s="316"/>
      <c r="L728" s="265"/>
      <c r="M728" s="115"/>
      <c r="N728" s="115"/>
      <c r="O728" s="290"/>
      <c r="P728" s="316"/>
      <c r="Q728" s="290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</row>
    <row r="729">
      <c r="A729" s="115"/>
      <c r="B729" s="265"/>
      <c r="C729" s="115"/>
      <c r="D729" s="115"/>
      <c r="E729" s="115"/>
      <c r="F729" s="115"/>
      <c r="G729" s="115"/>
      <c r="H729" s="115"/>
      <c r="I729" s="115"/>
      <c r="J729" s="115"/>
      <c r="K729" s="316"/>
      <c r="L729" s="265"/>
      <c r="M729" s="115"/>
      <c r="N729" s="115"/>
      <c r="O729" s="290"/>
      <c r="P729" s="316"/>
      <c r="Q729" s="290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</row>
    <row r="730">
      <c r="A730" s="115"/>
      <c r="B730" s="265"/>
      <c r="C730" s="115"/>
      <c r="D730" s="115"/>
      <c r="E730" s="115"/>
      <c r="F730" s="115"/>
      <c r="G730" s="115"/>
      <c r="H730" s="115"/>
      <c r="I730" s="115"/>
      <c r="J730" s="115"/>
      <c r="K730" s="316"/>
      <c r="L730" s="265"/>
      <c r="M730" s="115"/>
      <c r="N730" s="115"/>
      <c r="O730" s="290"/>
      <c r="P730" s="316"/>
      <c r="Q730" s="290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</row>
    <row r="731">
      <c r="A731" s="115"/>
      <c r="B731" s="265"/>
      <c r="C731" s="115"/>
      <c r="D731" s="115"/>
      <c r="E731" s="115"/>
      <c r="F731" s="115"/>
      <c r="G731" s="115"/>
      <c r="H731" s="115"/>
      <c r="I731" s="115"/>
      <c r="J731" s="115"/>
      <c r="K731" s="316"/>
      <c r="L731" s="265"/>
      <c r="M731" s="115"/>
      <c r="N731" s="115"/>
      <c r="O731" s="290"/>
      <c r="P731" s="316"/>
      <c r="Q731" s="290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</row>
    <row r="732">
      <c r="A732" s="115"/>
      <c r="B732" s="265"/>
      <c r="C732" s="115"/>
      <c r="D732" s="115"/>
      <c r="E732" s="115"/>
      <c r="F732" s="115"/>
      <c r="G732" s="115"/>
      <c r="H732" s="115"/>
      <c r="I732" s="115"/>
      <c r="J732" s="115"/>
      <c r="K732" s="316"/>
      <c r="L732" s="265"/>
      <c r="M732" s="115"/>
      <c r="N732" s="115"/>
      <c r="O732" s="290"/>
      <c r="P732" s="316"/>
      <c r="Q732" s="290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</row>
    <row r="733">
      <c r="A733" s="115"/>
      <c r="B733" s="265"/>
      <c r="C733" s="115"/>
      <c r="D733" s="115"/>
      <c r="E733" s="115"/>
      <c r="F733" s="115"/>
      <c r="G733" s="115"/>
      <c r="H733" s="115"/>
      <c r="I733" s="115"/>
      <c r="J733" s="115"/>
      <c r="K733" s="316"/>
      <c r="L733" s="265"/>
      <c r="M733" s="115"/>
      <c r="N733" s="115"/>
      <c r="O733" s="290"/>
      <c r="P733" s="316"/>
      <c r="Q733" s="290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</row>
    <row r="734">
      <c r="A734" s="115"/>
      <c r="B734" s="265"/>
      <c r="C734" s="115"/>
      <c r="D734" s="115"/>
      <c r="E734" s="115"/>
      <c r="F734" s="115"/>
      <c r="G734" s="115"/>
      <c r="H734" s="115"/>
      <c r="I734" s="115"/>
      <c r="J734" s="115"/>
      <c r="K734" s="316"/>
      <c r="L734" s="265"/>
      <c r="M734" s="115"/>
      <c r="N734" s="115"/>
      <c r="O734" s="290"/>
      <c r="P734" s="316"/>
      <c r="Q734" s="290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</row>
    <row r="735">
      <c r="A735" s="115"/>
      <c r="B735" s="265"/>
      <c r="C735" s="115"/>
      <c r="D735" s="115"/>
      <c r="E735" s="115"/>
      <c r="F735" s="115"/>
      <c r="G735" s="115"/>
      <c r="H735" s="115"/>
      <c r="I735" s="115"/>
      <c r="J735" s="115"/>
      <c r="K735" s="316"/>
      <c r="L735" s="265"/>
      <c r="M735" s="115"/>
      <c r="N735" s="115"/>
      <c r="O735" s="290"/>
      <c r="P735" s="316"/>
      <c r="Q735" s="290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</row>
    <row r="736">
      <c r="A736" s="115"/>
      <c r="B736" s="265"/>
      <c r="C736" s="115"/>
      <c r="D736" s="115"/>
      <c r="E736" s="115"/>
      <c r="F736" s="115"/>
      <c r="G736" s="115"/>
      <c r="H736" s="115"/>
      <c r="I736" s="115"/>
      <c r="J736" s="115"/>
      <c r="K736" s="316"/>
      <c r="L736" s="265"/>
      <c r="M736" s="115"/>
      <c r="N736" s="115"/>
      <c r="O736" s="290"/>
      <c r="P736" s="316"/>
      <c r="Q736" s="290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</row>
    <row r="737">
      <c r="A737" s="115"/>
      <c r="B737" s="265"/>
      <c r="C737" s="115"/>
      <c r="D737" s="115"/>
      <c r="E737" s="115"/>
      <c r="F737" s="115"/>
      <c r="G737" s="115"/>
      <c r="H737" s="115"/>
      <c r="I737" s="115"/>
      <c r="J737" s="115"/>
      <c r="K737" s="316"/>
      <c r="L737" s="265"/>
      <c r="M737" s="115"/>
      <c r="N737" s="115"/>
      <c r="O737" s="290"/>
      <c r="P737" s="316"/>
      <c r="Q737" s="290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</row>
    <row r="738">
      <c r="A738" s="115"/>
      <c r="B738" s="265"/>
      <c r="C738" s="115"/>
      <c r="D738" s="115"/>
      <c r="E738" s="115"/>
      <c r="F738" s="115"/>
      <c r="G738" s="115"/>
      <c r="H738" s="115"/>
      <c r="I738" s="115"/>
      <c r="J738" s="115"/>
      <c r="K738" s="316"/>
      <c r="L738" s="265"/>
      <c r="M738" s="115"/>
      <c r="N738" s="115"/>
      <c r="O738" s="290"/>
      <c r="P738" s="316"/>
      <c r="Q738" s="290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</row>
    <row r="739">
      <c r="A739" s="115"/>
      <c r="B739" s="265"/>
      <c r="C739" s="115"/>
      <c r="D739" s="115"/>
      <c r="E739" s="115"/>
      <c r="F739" s="115"/>
      <c r="G739" s="115"/>
      <c r="H739" s="115"/>
      <c r="I739" s="115"/>
      <c r="J739" s="115"/>
      <c r="K739" s="316"/>
      <c r="L739" s="265"/>
      <c r="M739" s="115"/>
      <c r="N739" s="115"/>
      <c r="O739" s="290"/>
      <c r="P739" s="316"/>
      <c r="Q739" s="290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</row>
    <row r="740">
      <c r="A740" s="115"/>
      <c r="B740" s="265"/>
      <c r="C740" s="115"/>
      <c r="D740" s="115"/>
      <c r="E740" s="115"/>
      <c r="F740" s="115"/>
      <c r="G740" s="115"/>
      <c r="H740" s="115"/>
      <c r="I740" s="115"/>
      <c r="J740" s="115"/>
      <c r="K740" s="316"/>
      <c r="L740" s="265"/>
      <c r="M740" s="115"/>
      <c r="N740" s="115"/>
      <c r="O740" s="290"/>
      <c r="P740" s="316"/>
      <c r="Q740" s="290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</row>
    <row r="741">
      <c r="A741" s="115"/>
      <c r="B741" s="265"/>
      <c r="C741" s="115"/>
      <c r="D741" s="115"/>
      <c r="E741" s="115"/>
      <c r="F741" s="115"/>
      <c r="G741" s="115"/>
      <c r="H741" s="115"/>
      <c r="I741" s="115"/>
      <c r="J741" s="115"/>
      <c r="K741" s="316"/>
      <c r="L741" s="265"/>
      <c r="M741" s="115"/>
      <c r="N741" s="115"/>
      <c r="O741" s="290"/>
      <c r="P741" s="316"/>
      <c r="Q741" s="290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</row>
    <row r="742">
      <c r="A742" s="115"/>
      <c r="B742" s="265"/>
      <c r="C742" s="115"/>
      <c r="D742" s="115"/>
      <c r="E742" s="115"/>
      <c r="F742" s="115"/>
      <c r="G742" s="115"/>
      <c r="H742" s="115"/>
      <c r="I742" s="115"/>
      <c r="J742" s="115"/>
      <c r="K742" s="316"/>
      <c r="L742" s="265"/>
      <c r="M742" s="115"/>
      <c r="N742" s="115"/>
      <c r="O742" s="290"/>
      <c r="P742" s="316"/>
      <c r="Q742" s="290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</row>
    <row r="743">
      <c r="A743" s="115"/>
      <c r="B743" s="265"/>
      <c r="C743" s="115"/>
      <c r="D743" s="115"/>
      <c r="E743" s="115"/>
      <c r="F743" s="115"/>
      <c r="G743" s="115"/>
      <c r="H743" s="115"/>
      <c r="I743" s="115"/>
      <c r="J743" s="115"/>
      <c r="K743" s="316"/>
      <c r="L743" s="265"/>
      <c r="M743" s="115"/>
      <c r="N743" s="115"/>
      <c r="O743" s="290"/>
      <c r="P743" s="316"/>
      <c r="Q743" s="290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</row>
    <row r="744">
      <c r="A744" s="115"/>
      <c r="B744" s="265"/>
      <c r="C744" s="115"/>
      <c r="D744" s="115"/>
      <c r="E744" s="115"/>
      <c r="F744" s="115"/>
      <c r="G744" s="115"/>
      <c r="H744" s="115"/>
      <c r="I744" s="115"/>
      <c r="J744" s="115"/>
      <c r="K744" s="316"/>
      <c r="L744" s="265"/>
      <c r="M744" s="115"/>
      <c r="N744" s="115"/>
      <c r="O744" s="290"/>
      <c r="P744" s="316"/>
      <c r="Q744" s="290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</row>
    <row r="745">
      <c r="A745" s="115"/>
      <c r="B745" s="265"/>
      <c r="C745" s="115"/>
      <c r="D745" s="115"/>
      <c r="E745" s="115"/>
      <c r="F745" s="115"/>
      <c r="G745" s="115"/>
      <c r="H745" s="115"/>
      <c r="I745" s="115"/>
      <c r="J745" s="115"/>
      <c r="K745" s="316"/>
      <c r="L745" s="265"/>
      <c r="M745" s="115"/>
      <c r="N745" s="115"/>
      <c r="O745" s="290"/>
      <c r="P745" s="316"/>
      <c r="Q745" s="290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</row>
    <row r="746">
      <c r="A746" s="115"/>
      <c r="B746" s="265"/>
      <c r="C746" s="115"/>
      <c r="D746" s="115"/>
      <c r="E746" s="115"/>
      <c r="F746" s="115"/>
      <c r="G746" s="115"/>
      <c r="H746" s="115"/>
      <c r="I746" s="115"/>
      <c r="J746" s="115"/>
      <c r="K746" s="316"/>
      <c r="L746" s="265"/>
      <c r="M746" s="115"/>
      <c r="N746" s="115"/>
      <c r="O746" s="290"/>
      <c r="P746" s="316"/>
      <c r="Q746" s="290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</row>
    <row r="747">
      <c r="A747" s="115"/>
      <c r="B747" s="265"/>
      <c r="C747" s="115"/>
      <c r="D747" s="115"/>
      <c r="E747" s="115"/>
      <c r="F747" s="115"/>
      <c r="G747" s="115"/>
      <c r="H747" s="115"/>
      <c r="I747" s="115"/>
      <c r="J747" s="115"/>
      <c r="K747" s="316"/>
      <c r="L747" s="265"/>
      <c r="M747" s="115"/>
      <c r="N747" s="115"/>
      <c r="O747" s="290"/>
      <c r="P747" s="316"/>
      <c r="Q747" s="290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</row>
    <row r="748">
      <c r="A748" s="115"/>
      <c r="B748" s="265"/>
      <c r="C748" s="115"/>
      <c r="D748" s="115"/>
      <c r="E748" s="115"/>
      <c r="F748" s="115"/>
      <c r="G748" s="115"/>
      <c r="H748" s="115"/>
      <c r="I748" s="115"/>
      <c r="J748" s="115"/>
      <c r="K748" s="316"/>
      <c r="L748" s="265"/>
      <c r="M748" s="115"/>
      <c r="N748" s="115"/>
      <c r="O748" s="290"/>
      <c r="P748" s="316"/>
      <c r="Q748" s="290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</row>
    <row r="749">
      <c r="A749" s="115"/>
      <c r="B749" s="265"/>
      <c r="C749" s="115"/>
      <c r="D749" s="115"/>
      <c r="E749" s="115"/>
      <c r="F749" s="115"/>
      <c r="G749" s="115"/>
      <c r="H749" s="115"/>
      <c r="I749" s="115"/>
      <c r="J749" s="115"/>
      <c r="K749" s="316"/>
      <c r="L749" s="265"/>
      <c r="M749" s="115"/>
      <c r="N749" s="115"/>
      <c r="O749" s="290"/>
      <c r="P749" s="316"/>
      <c r="Q749" s="290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</row>
    <row r="750">
      <c r="A750" s="115"/>
      <c r="B750" s="265"/>
      <c r="C750" s="115"/>
      <c r="D750" s="115"/>
      <c r="E750" s="115"/>
      <c r="F750" s="115"/>
      <c r="G750" s="115"/>
      <c r="H750" s="115"/>
      <c r="I750" s="115"/>
      <c r="J750" s="115"/>
      <c r="K750" s="316"/>
      <c r="L750" s="265"/>
      <c r="M750" s="115"/>
      <c r="N750" s="115"/>
      <c r="O750" s="290"/>
      <c r="P750" s="316"/>
      <c r="Q750" s="290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</row>
    <row r="751">
      <c r="A751" s="115"/>
      <c r="B751" s="265"/>
      <c r="C751" s="115"/>
      <c r="D751" s="115"/>
      <c r="E751" s="115"/>
      <c r="F751" s="115"/>
      <c r="G751" s="115"/>
      <c r="H751" s="115"/>
      <c r="I751" s="115"/>
      <c r="J751" s="115"/>
      <c r="K751" s="316"/>
      <c r="L751" s="265"/>
      <c r="M751" s="115"/>
      <c r="N751" s="115"/>
      <c r="O751" s="290"/>
      <c r="P751" s="316"/>
      <c r="Q751" s="290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</row>
    <row r="752">
      <c r="A752" s="115"/>
      <c r="B752" s="265"/>
      <c r="C752" s="115"/>
      <c r="D752" s="115"/>
      <c r="E752" s="115"/>
      <c r="F752" s="115"/>
      <c r="G752" s="115"/>
      <c r="H752" s="115"/>
      <c r="I752" s="115"/>
      <c r="J752" s="115"/>
      <c r="K752" s="316"/>
      <c r="L752" s="265"/>
      <c r="M752" s="115"/>
      <c r="N752" s="115"/>
      <c r="O752" s="290"/>
      <c r="P752" s="316"/>
      <c r="Q752" s="290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</row>
    <row r="753">
      <c r="A753" s="115"/>
      <c r="B753" s="265"/>
      <c r="C753" s="115"/>
      <c r="D753" s="115"/>
      <c r="E753" s="115"/>
      <c r="F753" s="115"/>
      <c r="G753" s="115"/>
      <c r="H753" s="115"/>
      <c r="I753" s="115"/>
      <c r="J753" s="115"/>
      <c r="K753" s="316"/>
      <c r="L753" s="265"/>
      <c r="M753" s="115"/>
      <c r="N753" s="115"/>
      <c r="O753" s="290"/>
      <c r="P753" s="316"/>
      <c r="Q753" s="290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</row>
    <row r="754">
      <c r="A754" s="115"/>
      <c r="B754" s="265"/>
      <c r="C754" s="115"/>
      <c r="D754" s="115"/>
      <c r="E754" s="115"/>
      <c r="F754" s="115"/>
      <c r="G754" s="115"/>
      <c r="H754" s="115"/>
      <c r="I754" s="115"/>
      <c r="J754" s="115"/>
      <c r="K754" s="316"/>
      <c r="L754" s="265"/>
      <c r="M754" s="115"/>
      <c r="N754" s="115"/>
      <c r="O754" s="290"/>
      <c r="P754" s="316"/>
      <c r="Q754" s="290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</row>
    <row r="755">
      <c r="A755" s="115"/>
      <c r="B755" s="265"/>
      <c r="C755" s="115"/>
      <c r="D755" s="115"/>
      <c r="E755" s="115"/>
      <c r="F755" s="115"/>
      <c r="G755" s="115"/>
      <c r="H755" s="115"/>
      <c r="I755" s="115"/>
      <c r="J755" s="115"/>
      <c r="K755" s="316"/>
      <c r="L755" s="265"/>
      <c r="M755" s="115"/>
      <c r="N755" s="115"/>
      <c r="O755" s="290"/>
      <c r="P755" s="316"/>
      <c r="Q755" s="290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</row>
    <row r="756">
      <c r="A756" s="115"/>
      <c r="B756" s="265"/>
      <c r="C756" s="115"/>
      <c r="D756" s="115"/>
      <c r="E756" s="115"/>
      <c r="F756" s="115"/>
      <c r="G756" s="115"/>
      <c r="H756" s="115"/>
      <c r="I756" s="115"/>
      <c r="J756" s="115"/>
      <c r="K756" s="316"/>
      <c r="L756" s="265"/>
      <c r="M756" s="115"/>
      <c r="N756" s="115"/>
      <c r="O756" s="290"/>
      <c r="P756" s="316"/>
      <c r="Q756" s="290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</row>
    <row r="757">
      <c r="A757" s="115"/>
      <c r="B757" s="265"/>
      <c r="C757" s="115"/>
      <c r="D757" s="115"/>
      <c r="E757" s="115"/>
      <c r="F757" s="115"/>
      <c r="G757" s="115"/>
      <c r="H757" s="115"/>
      <c r="I757" s="115"/>
      <c r="J757" s="115"/>
      <c r="K757" s="316"/>
      <c r="L757" s="265"/>
      <c r="M757" s="115"/>
      <c r="N757" s="115"/>
      <c r="O757" s="290"/>
      <c r="P757" s="316"/>
      <c r="Q757" s="290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</row>
    <row r="758">
      <c r="A758" s="115"/>
      <c r="B758" s="265"/>
      <c r="C758" s="115"/>
      <c r="D758" s="115"/>
      <c r="E758" s="115"/>
      <c r="F758" s="115"/>
      <c r="G758" s="115"/>
      <c r="H758" s="115"/>
      <c r="I758" s="115"/>
      <c r="J758" s="115"/>
      <c r="K758" s="316"/>
      <c r="L758" s="265"/>
      <c r="M758" s="115"/>
      <c r="N758" s="115"/>
      <c r="O758" s="290"/>
      <c r="P758" s="316"/>
      <c r="Q758" s="290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</row>
    <row r="759">
      <c r="A759" s="115"/>
      <c r="B759" s="265"/>
      <c r="C759" s="115"/>
      <c r="D759" s="115"/>
      <c r="E759" s="115"/>
      <c r="F759" s="115"/>
      <c r="G759" s="115"/>
      <c r="H759" s="115"/>
      <c r="I759" s="115"/>
      <c r="J759" s="115"/>
      <c r="K759" s="316"/>
      <c r="L759" s="265"/>
      <c r="M759" s="115"/>
      <c r="N759" s="115"/>
      <c r="O759" s="290"/>
      <c r="P759" s="316"/>
      <c r="Q759" s="290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</row>
    <row r="760">
      <c r="A760" s="115"/>
      <c r="B760" s="265"/>
      <c r="C760" s="115"/>
      <c r="D760" s="115"/>
      <c r="E760" s="115"/>
      <c r="F760" s="115"/>
      <c r="G760" s="115"/>
      <c r="H760" s="115"/>
      <c r="I760" s="115"/>
      <c r="J760" s="115"/>
      <c r="K760" s="316"/>
      <c r="L760" s="265"/>
      <c r="M760" s="115"/>
      <c r="N760" s="115"/>
      <c r="O760" s="290"/>
      <c r="P760" s="316"/>
      <c r="Q760" s="290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</row>
    <row r="761">
      <c r="A761" s="115"/>
      <c r="B761" s="265"/>
      <c r="C761" s="115"/>
      <c r="D761" s="115"/>
      <c r="E761" s="115"/>
      <c r="F761" s="115"/>
      <c r="G761" s="115"/>
      <c r="H761" s="115"/>
      <c r="I761" s="115"/>
      <c r="J761" s="115"/>
      <c r="K761" s="316"/>
      <c r="L761" s="265"/>
      <c r="M761" s="115"/>
      <c r="N761" s="115"/>
      <c r="O761" s="290"/>
      <c r="P761" s="316"/>
      <c r="Q761" s="290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</row>
    <row r="762">
      <c r="A762" s="115"/>
      <c r="B762" s="265"/>
      <c r="C762" s="115"/>
      <c r="D762" s="115"/>
      <c r="E762" s="115"/>
      <c r="F762" s="115"/>
      <c r="G762" s="115"/>
      <c r="H762" s="115"/>
      <c r="I762" s="115"/>
      <c r="J762" s="115"/>
      <c r="K762" s="316"/>
      <c r="L762" s="265"/>
      <c r="M762" s="115"/>
      <c r="N762" s="115"/>
      <c r="O762" s="290"/>
      <c r="P762" s="316"/>
      <c r="Q762" s="290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</row>
    <row r="763">
      <c r="A763" s="115"/>
      <c r="B763" s="265"/>
      <c r="C763" s="115"/>
      <c r="D763" s="115"/>
      <c r="E763" s="115"/>
      <c r="F763" s="115"/>
      <c r="G763" s="115"/>
      <c r="H763" s="115"/>
      <c r="I763" s="115"/>
      <c r="J763" s="115"/>
      <c r="K763" s="316"/>
      <c r="L763" s="265"/>
      <c r="M763" s="115"/>
      <c r="N763" s="115"/>
      <c r="O763" s="290"/>
      <c r="P763" s="316"/>
      <c r="Q763" s="290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</row>
    <row r="764">
      <c r="A764" s="115"/>
      <c r="B764" s="265"/>
      <c r="C764" s="115"/>
      <c r="D764" s="115"/>
      <c r="E764" s="115"/>
      <c r="F764" s="115"/>
      <c r="G764" s="115"/>
      <c r="H764" s="115"/>
      <c r="I764" s="115"/>
      <c r="J764" s="115"/>
      <c r="K764" s="316"/>
      <c r="L764" s="265"/>
      <c r="M764" s="115"/>
      <c r="N764" s="115"/>
      <c r="O764" s="290"/>
      <c r="P764" s="316"/>
      <c r="Q764" s="290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</row>
    <row r="765">
      <c r="A765" s="115"/>
      <c r="B765" s="265"/>
      <c r="C765" s="115"/>
      <c r="D765" s="115"/>
      <c r="E765" s="115"/>
      <c r="F765" s="115"/>
      <c r="G765" s="115"/>
      <c r="H765" s="115"/>
      <c r="I765" s="115"/>
      <c r="J765" s="115"/>
      <c r="K765" s="316"/>
      <c r="L765" s="265"/>
      <c r="M765" s="115"/>
      <c r="N765" s="115"/>
      <c r="O765" s="290"/>
      <c r="P765" s="316"/>
      <c r="Q765" s="290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</row>
    <row r="766">
      <c r="A766" s="115"/>
      <c r="B766" s="265"/>
      <c r="C766" s="115"/>
      <c r="D766" s="115"/>
      <c r="E766" s="115"/>
      <c r="F766" s="115"/>
      <c r="G766" s="115"/>
      <c r="H766" s="115"/>
      <c r="I766" s="115"/>
      <c r="J766" s="115"/>
      <c r="K766" s="316"/>
      <c r="L766" s="265"/>
      <c r="M766" s="115"/>
      <c r="N766" s="115"/>
      <c r="O766" s="290"/>
      <c r="P766" s="316"/>
      <c r="Q766" s="290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</row>
    <row r="767">
      <c r="A767" s="115"/>
      <c r="B767" s="265"/>
      <c r="C767" s="115"/>
      <c r="D767" s="115"/>
      <c r="E767" s="115"/>
      <c r="F767" s="115"/>
      <c r="G767" s="115"/>
      <c r="H767" s="115"/>
      <c r="I767" s="115"/>
      <c r="J767" s="115"/>
      <c r="K767" s="316"/>
      <c r="L767" s="265"/>
      <c r="M767" s="115"/>
      <c r="N767" s="115"/>
      <c r="O767" s="290"/>
      <c r="P767" s="316"/>
      <c r="Q767" s="290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</row>
    <row r="768">
      <c r="A768" s="115"/>
      <c r="B768" s="265"/>
      <c r="C768" s="115"/>
      <c r="D768" s="115"/>
      <c r="E768" s="115"/>
      <c r="F768" s="115"/>
      <c r="G768" s="115"/>
      <c r="H768" s="115"/>
      <c r="I768" s="115"/>
      <c r="J768" s="115"/>
      <c r="K768" s="316"/>
      <c r="L768" s="265"/>
      <c r="M768" s="115"/>
      <c r="N768" s="115"/>
      <c r="O768" s="290"/>
      <c r="P768" s="316"/>
      <c r="Q768" s="290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</row>
    <row r="769">
      <c r="A769" s="115"/>
      <c r="B769" s="265"/>
      <c r="C769" s="115"/>
      <c r="D769" s="115"/>
      <c r="E769" s="115"/>
      <c r="F769" s="115"/>
      <c r="G769" s="115"/>
      <c r="H769" s="115"/>
      <c r="I769" s="115"/>
      <c r="J769" s="115"/>
      <c r="K769" s="316"/>
      <c r="L769" s="265"/>
      <c r="M769" s="115"/>
      <c r="N769" s="115"/>
      <c r="O769" s="290"/>
      <c r="P769" s="316"/>
      <c r="Q769" s="290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</row>
    <row r="770">
      <c r="A770" s="115"/>
      <c r="B770" s="265"/>
      <c r="C770" s="115"/>
      <c r="D770" s="115"/>
      <c r="E770" s="115"/>
      <c r="F770" s="115"/>
      <c r="G770" s="115"/>
      <c r="H770" s="115"/>
      <c r="I770" s="115"/>
      <c r="J770" s="115"/>
      <c r="K770" s="316"/>
      <c r="L770" s="265"/>
      <c r="M770" s="115"/>
      <c r="N770" s="115"/>
      <c r="O770" s="290"/>
      <c r="P770" s="316"/>
      <c r="Q770" s="290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</row>
    <row r="771">
      <c r="A771" s="115"/>
      <c r="B771" s="265"/>
      <c r="C771" s="115"/>
      <c r="D771" s="115"/>
      <c r="E771" s="115"/>
      <c r="F771" s="115"/>
      <c r="G771" s="115"/>
      <c r="H771" s="115"/>
      <c r="I771" s="115"/>
      <c r="J771" s="115"/>
      <c r="K771" s="316"/>
      <c r="L771" s="265"/>
      <c r="M771" s="115"/>
      <c r="N771" s="115"/>
      <c r="O771" s="290"/>
      <c r="P771" s="316"/>
      <c r="Q771" s="290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</row>
    <row r="772">
      <c r="A772" s="115"/>
      <c r="B772" s="265"/>
      <c r="C772" s="115"/>
      <c r="D772" s="115"/>
      <c r="E772" s="115"/>
      <c r="F772" s="115"/>
      <c r="G772" s="115"/>
      <c r="H772" s="115"/>
      <c r="I772" s="115"/>
      <c r="J772" s="115"/>
      <c r="K772" s="316"/>
      <c r="L772" s="265"/>
      <c r="M772" s="115"/>
      <c r="N772" s="115"/>
      <c r="O772" s="290"/>
      <c r="P772" s="316"/>
      <c r="Q772" s="290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</row>
    <row r="773">
      <c r="A773" s="115"/>
      <c r="B773" s="265"/>
      <c r="C773" s="115"/>
      <c r="D773" s="115"/>
      <c r="E773" s="115"/>
      <c r="F773" s="115"/>
      <c r="G773" s="115"/>
      <c r="H773" s="115"/>
      <c r="I773" s="115"/>
      <c r="J773" s="115"/>
      <c r="K773" s="316"/>
      <c r="L773" s="265"/>
      <c r="M773" s="115"/>
      <c r="N773" s="115"/>
      <c r="O773" s="290"/>
      <c r="P773" s="316"/>
      <c r="Q773" s="290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</row>
    <row r="774">
      <c r="A774" s="115"/>
      <c r="B774" s="265"/>
      <c r="C774" s="115"/>
      <c r="D774" s="115"/>
      <c r="E774" s="115"/>
      <c r="F774" s="115"/>
      <c r="G774" s="115"/>
      <c r="H774" s="115"/>
      <c r="I774" s="115"/>
      <c r="J774" s="115"/>
      <c r="K774" s="316"/>
      <c r="L774" s="265"/>
      <c r="M774" s="115"/>
      <c r="N774" s="115"/>
      <c r="O774" s="290"/>
      <c r="P774" s="316"/>
      <c r="Q774" s="290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</row>
    <row r="775">
      <c r="A775" s="115"/>
      <c r="B775" s="265"/>
      <c r="C775" s="115"/>
      <c r="D775" s="115"/>
      <c r="E775" s="115"/>
      <c r="F775" s="115"/>
      <c r="G775" s="115"/>
      <c r="H775" s="115"/>
      <c r="I775" s="115"/>
      <c r="J775" s="115"/>
      <c r="K775" s="316"/>
      <c r="L775" s="265"/>
      <c r="M775" s="115"/>
      <c r="N775" s="115"/>
      <c r="O775" s="290"/>
      <c r="P775" s="316"/>
      <c r="Q775" s="290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</row>
    <row r="776">
      <c r="A776" s="115"/>
      <c r="B776" s="265"/>
      <c r="C776" s="115"/>
      <c r="D776" s="115"/>
      <c r="E776" s="115"/>
      <c r="F776" s="115"/>
      <c r="G776" s="115"/>
      <c r="H776" s="115"/>
      <c r="I776" s="115"/>
      <c r="J776" s="115"/>
      <c r="K776" s="316"/>
      <c r="L776" s="265"/>
      <c r="M776" s="115"/>
      <c r="N776" s="115"/>
      <c r="O776" s="290"/>
      <c r="P776" s="316"/>
      <c r="Q776" s="290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</row>
    <row r="777">
      <c r="A777" s="115"/>
      <c r="B777" s="265"/>
      <c r="C777" s="115"/>
      <c r="D777" s="115"/>
      <c r="E777" s="115"/>
      <c r="F777" s="115"/>
      <c r="G777" s="115"/>
      <c r="H777" s="115"/>
      <c r="I777" s="115"/>
      <c r="J777" s="115"/>
      <c r="K777" s="316"/>
      <c r="L777" s="265"/>
      <c r="M777" s="115"/>
      <c r="N777" s="115"/>
      <c r="O777" s="290"/>
      <c r="P777" s="316"/>
      <c r="Q777" s="290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</row>
    <row r="778">
      <c r="A778" s="115"/>
      <c r="B778" s="265"/>
      <c r="C778" s="115"/>
      <c r="D778" s="115"/>
      <c r="E778" s="115"/>
      <c r="F778" s="115"/>
      <c r="G778" s="115"/>
      <c r="H778" s="115"/>
      <c r="I778" s="115"/>
      <c r="J778" s="115"/>
      <c r="K778" s="316"/>
      <c r="L778" s="265"/>
      <c r="M778" s="115"/>
      <c r="N778" s="115"/>
      <c r="O778" s="290"/>
      <c r="P778" s="316"/>
      <c r="Q778" s="290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</row>
    <row r="779">
      <c r="A779" s="115"/>
      <c r="B779" s="265"/>
      <c r="C779" s="115"/>
      <c r="D779" s="115"/>
      <c r="E779" s="115"/>
      <c r="F779" s="115"/>
      <c r="G779" s="115"/>
      <c r="H779" s="115"/>
      <c r="I779" s="115"/>
      <c r="J779" s="115"/>
      <c r="K779" s="316"/>
      <c r="L779" s="265"/>
      <c r="M779" s="115"/>
      <c r="N779" s="115"/>
      <c r="O779" s="290"/>
      <c r="P779" s="316"/>
      <c r="Q779" s="290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</row>
    <row r="780">
      <c r="A780" s="115"/>
      <c r="B780" s="265"/>
      <c r="C780" s="115"/>
      <c r="D780" s="115"/>
      <c r="E780" s="115"/>
      <c r="F780" s="115"/>
      <c r="G780" s="115"/>
      <c r="H780" s="115"/>
      <c r="I780" s="115"/>
      <c r="J780" s="115"/>
      <c r="K780" s="316"/>
      <c r="L780" s="265"/>
      <c r="M780" s="115"/>
      <c r="N780" s="115"/>
      <c r="O780" s="290"/>
      <c r="P780" s="316"/>
      <c r="Q780" s="290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</row>
    <row r="781">
      <c r="A781" s="115"/>
      <c r="B781" s="265"/>
      <c r="C781" s="115"/>
      <c r="D781" s="115"/>
      <c r="E781" s="115"/>
      <c r="F781" s="115"/>
      <c r="G781" s="115"/>
      <c r="H781" s="115"/>
      <c r="I781" s="115"/>
      <c r="J781" s="115"/>
      <c r="K781" s="316"/>
      <c r="L781" s="265"/>
      <c r="M781" s="115"/>
      <c r="N781" s="115"/>
      <c r="O781" s="290"/>
      <c r="P781" s="316"/>
      <c r="Q781" s="290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</row>
    <row r="782">
      <c r="A782" s="115"/>
      <c r="B782" s="265"/>
      <c r="C782" s="115"/>
      <c r="D782" s="115"/>
      <c r="E782" s="115"/>
      <c r="F782" s="115"/>
      <c r="G782" s="115"/>
      <c r="H782" s="115"/>
      <c r="I782" s="115"/>
      <c r="J782" s="115"/>
      <c r="K782" s="316"/>
      <c r="L782" s="265"/>
      <c r="M782" s="115"/>
      <c r="N782" s="115"/>
      <c r="O782" s="290"/>
      <c r="P782" s="316"/>
      <c r="Q782" s="290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</row>
    <row r="783">
      <c r="A783" s="115"/>
      <c r="B783" s="265"/>
      <c r="C783" s="115"/>
      <c r="D783" s="115"/>
      <c r="E783" s="115"/>
      <c r="F783" s="115"/>
      <c r="G783" s="115"/>
      <c r="H783" s="115"/>
      <c r="I783" s="115"/>
      <c r="J783" s="115"/>
      <c r="K783" s="316"/>
      <c r="L783" s="265"/>
      <c r="M783" s="115"/>
      <c r="N783" s="115"/>
      <c r="O783" s="290"/>
      <c r="P783" s="316"/>
      <c r="Q783" s="290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</row>
    <row r="784">
      <c r="A784" s="115"/>
      <c r="B784" s="265"/>
      <c r="C784" s="115"/>
      <c r="D784" s="115"/>
      <c r="E784" s="115"/>
      <c r="F784" s="115"/>
      <c r="G784" s="115"/>
      <c r="H784" s="115"/>
      <c r="I784" s="115"/>
      <c r="J784" s="115"/>
      <c r="K784" s="316"/>
      <c r="L784" s="265"/>
      <c r="M784" s="115"/>
      <c r="N784" s="115"/>
      <c r="O784" s="290"/>
      <c r="P784" s="316"/>
      <c r="Q784" s="290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</row>
    <row r="785">
      <c r="A785" s="115"/>
      <c r="B785" s="265"/>
      <c r="C785" s="115"/>
      <c r="D785" s="115"/>
      <c r="E785" s="115"/>
      <c r="F785" s="115"/>
      <c r="G785" s="115"/>
      <c r="H785" s="115"/>
      <c r="I785" s="115"/>
      <c r="J785" s="115"/>
      <c r="K785" s="316"/>
      <c r="L785" s="265"/>
      <c r="M785" s="115"/>
      <c r="N785" s="115"/>
      <c r="O785" s="290"/>
      <c r="P785" s="316"/>
      <c r="Q785" s="290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</row>
    <row r="786">
      <c r="A786" s="115"/>
      <c r="B786" s="265"/>
      <c r="C786" s="115"/>
      <c r="D786" s="115"/>
      <c r="E786" s="115"/>
      <c r="F786" s="115"/>
      <c r="G786" s="115"/>
      <c r="H786" s="115"/>
      <c r="I786" s="115"/>
      <c r="J786" s="115"/>
      <c r="K786" s="316"/>
      <c r="L786" s="265"/>
      <c r="M786" s="115"/>
      <c r="N786" s="115"/>
      <c r="O786" s="290"/>
      <c r="P786" s="316"/>
      <c r="Q786" s="290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</row>
    <row r="787">
      <c r="A787" s="115"/>
      <c r="B787" s="265"/>
      <c r="C787" s="115"/>
      <c r="D787" s="115"/>
      <c r="E787" s="115"/>
      <c r="F787" s="115"/>
      <c r="G787" s="115"/>
      <c r="H787" s="115"/>
      <c r="I787" s="115"/>
      <c r="J787" s="115"/>
      <c r="K787" s="316"/>
      <c r="L787" s="265"/>
      <c r="M787" s="115"/>
      <c r="N787" s="115"/>
      <c r="O787" s="290"/>
      <c r="P787" s="316"/>
      <c r="Q787" s="290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</row>
    <row r="788">
      <c r="A788" s="115"/>
      <c r="B788" s="265"/>
      <c r="C788" s="115"/>
      <c r="D788" s="115"/>
      <c r="E788" s="115"/>
      <c r="F788" s="115"/>
      <c r="G788" s="115"/>
      <c r="H788" s="115"/>
      <c r="I788" s="115"/>
      <c r="J788" s="115"/>
      <c r="K788" s="316"/>
      <c r="L788" s="265"/>
      <c r="M788" s="115"/>
      <c r="N788" s="115"/>
      <c r="O788" s="290"/>
      <c r="P788" s="316"/>
      <c r="Q788" s="290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</row>
    <row r="789">
      <c r="A789" s="115"/>
      <c r="B789" s="265"/>
      <c r="C789" s="115"/>
      <c r="D789" s="115"/>
      <c r="E789" s="115"/>
      <c r="F789" s="115"/>
      <c r="G789" s="115"/>
      <c r="H789" s="115"/>
      <c r="I789" s="115"/>
      <c r="J789" s="115"/>
      <c r="K789" s="316"/>
      <c r="L789" s="265"/>
      <c r="M789" s="115"/>
      <c r="N789" s="115"/>
      <c r="O789" s="290"/>
      <c r="P789" s="316"/>
      <c r="Q789" s="290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</row>
    <row r="790">
      <c r="A790" s="115"/>
      <c r="B790" s="265"/>
      <c r="C790" s="115"/>
      <c r="D790" s="115"/>
      <c r="E790" s="115"/>
      <c r="F790" s="115"/>
      <c r="G790" s="115"/>
      <c r="H790" s="115"/>
      <c r="I790" s="115"/>
      <c r="J790" s="115"/>
      <c r="K790" s="316"/>
      <c r="L790" s="265"/>
      <c r="M790" s="115"/>
      <c r="N790" s="115"/>
      <c r="O790" s="290"/>
      <c r="P790" s="316"/>
      <c r="Q790" s="290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</row>
    <row r="791">
      <c r="A791" s="115"/>
      <c r="B791" s="265"/>
      <c r="C791" s="115"/>
      <c r="D791" s="115"/>
      <c r="E791" s="115"/>
      <c r="F791" s="115"/>
      <c r="G791" s="115"/>
      <c r="H791" s="115"/>
      <c r="I791" s="115"/>
      <c r="J791" s="115"/>
      <c r="K791" s="316"/>
      <c r="L791" s="265"/>
      <c r="M791" s="115"/>
      <c r="N791" s="115"/>
      <c r="O791" s="290"/>
      <c r="P791" s="316"/>
      <c r="Q791" s="290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</row>
    <row r="792">
      <c r="A792" s="115"/>
      <c r="B792" s="265"/>
      <c r="C792" s="115"/>
      <c r="D792" s="115"/>
      <c r="E792" s="115"/>
      <c r="F792" s="115"/>
      <c r="G792" s="115"/>
      <c r="H792" s="115"/>
      <c r="I792" s="115"/>
      <c r="J792" s="115"/>
      <c r="K792" s="316"/>
      <c r="L792" s="265"/>
      <c r="M792" s="115"/>
      <c r="N792" s="115"/>
      <c r="O792" s="290"/>
      <c r="P792" s="316"/>
      <c r="Q792" s="290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</row>
    <row r="793">
      <c r="A793" s="115"/>
      <c r="B793" s="265"/>
      <c r="C793" s="115"/>
      <c r="D793" s="115"/>
      <c r="E793" s="115"/>
      <c r="F793" s="115"/>
      <c r="G793" s="115"/>
      <c r="H793" s="115"/>
      <c r="I793" s="115"/>
      <c r="J793" s="115"/>
      <c r="K793" s="316"/>
      <c r="L793" s="265"/>
      <c r="M793" s="115"/>
      <c r="N793" s="115"/>
      <c r="O793" s="290"/>
      <c r="P793" s="316"/>
      <c r="Q793" s="290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</row>
    <row r="794">
      <c r="A794" s="115"/>
      <c r="B794" s="265"/>
      <c r="C794" s="115"/>
      <c r="D794" s="115"/>
      <c r="E794" s="115"/>
      <c r="F794" s="115"/>
      <c r="G794" s="115"/>
      <c r="H794" s="115"/>
      <c r="I794" s="115"/>
      <c r="J794" s="115"/>
      <c r="K794" s="316"/>
      <c r="L794" s="265"/>
      <c r="M794" s="115"/>
      <c r="N794" s="115"/>
      <c r="O794" s="290"/>
      <c r="P794" s="316"/>
      <c r="Q794" s="290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</row>
    <row r="795">
      <c r="A795" s="115"/>
      <c r="B795" s="265"/>
      <c r="C795" s="115"/>
      <c r="D795" s="115"/>
      <c r="E795" s="115"/>
      <c r="F795" s="115"/>
      <c r="G795" s="115"/>
      <c r="H795" s="115"/>
      <c r="I795" s="115"/>
      <c r="J795" s="115"/>
      <c r="K795" s="316"/>
      <c r="L795" s="265"/>
      <c r="M795" s="115"/>
      <c r="N795" s="115"/>
      <c r="O795" s="290"/>
      <c r="P795" s="316"/>
      <c r="Q795" s="290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</row>
    <row r="796">
      <c r="A796" s="115"/>
      <c r="B796" s="265"/>
      <c r="C796" s="115"/>
      <c r="D796" s="115"/>
      <c r="E796" s="115"/>
      <c r="F796" s="115"/>
      <c r="G796" s="115"/>
      <c r="H796" s="115"/>
      <c r="I796" s="115"/>
      <c r="J796" s="115"/>
      <c r="K796" s="316"/>
      <c r="L796" s="265"/>
      <c r="M796" s="115"/>
      <c r="N796" s="115"/>
      <c r="O796" s="290"/>
      <c r="P796" s="316"/>
      <c r="Q796" s="290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</row>
    <row r="797">
      <c r="A797" s="115"/>
      <c r="B797" s="265"/>
      <c r="C797" s="115"/>
      <c r="D797" s="115"/>
      <c r="E797" s="115"/>
      <c r="F797" s="115"/>
      <c r="G797" s="115"/>
      <c r="H797" s="115"/>
      <c r="I797" s="115"/>
      <c r="J797" s="115"/>
      <c r="K797" s="316"/>
      <c r="L797" s="265"/>
      <c r="M797" s="115"/>
      <c r="N797" s="115"/>
      <c r="O797" s="290"/>
      <c r="P797" s="316"/>
      <c r="Q797" s="290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</row>
    <row r="798">
      <c r="A798" s="115"/>
      <c r="B798" s="265"/>
      <c r="C798" s="115"/>
      <c r="D798" s="115"/>
      <c r="E798" s="115"/>
      <c r="F798" s="115"/>
      <c r="G798" s="115"/>
      <c r="H798" s="115"/>
      <c r="I798" s="115"/>
      <c r="J798" s="115"/>
      <c r="K798" s="316"/>
      <c r="L798" s="265"/>
      <c r="M798" s="115"/>
      <c r="N798" s="115"/>
      <c r="O798" s="290"/>
      <c r="P798" s="316"/>
      <c r="Q798" s="290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</row>
    <row r="799">
      <c r="A799" s="115"/>
      <c r="B799" s="265"/>
      <c r="C799" s="115"/>
      <c r="D799" s="115"/>
      <c r="E799" s="115"/>
      <c r="F799" s="115"/>
      <c r="G799" s="115"/>
      <c r="H799" s="115"/>
      <c r="I799" s="115"/>
      <c r="J799" s="115"/>
      <c r="K799" s="316"/>
      <c r="L799" s="265"/>
      <c r="M799" s="115"/>
      <c r="N799" s="115"/>
      <c r="O799" s="290"/>
      <c r="P799" s="316"/>
      <c r="Q799" s="290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</row>
    <row r="800">
      <c r="A800" s="115"/>
      <c r="B800" s="265"/>
      <c r="C800" s="115"/>
      <c r="D800" s="115"/>
      <c r="E800" s="115"/>
      <c r="F800" s="115"/>
      <c r="G800" s="115"/>
      <c r="H800" s="115"/>
      <c r="I800" s="115"/>
      <c r="J800" s="115"/>
      <c r="K800" s="316"/>
      <c r="L800" s="265"/>
      <c r="M800" s="115"/>
      <c r="N800" s="115"/>
      <c r="O800" s="290"/>
      <c r="P800" s="316"/>
      <c r="Q800" s="290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</row>
    <row r="801">
      <c r="A801" s="115"/>
      <c r="B801" s="265"/>
      <c r="C801" s="115"/>
      <c r="D801" s="115"/>
      <c r="E801" s="115"/>
      <c r="F801" s="115"/>
      <c r="G801" s="115"/>
      <c r="H801" s="115"/>
      <c r="I801" s="115"/>
      <c r="J801" s="115"/>
      <c r="K801" s="316"/>
      <c r="L801" s="265"/>
      <c r="M801" s="115"/>
      <c r="N801" s="115"/>
      <c r="O801" s="290"/>
      <c r="P801" s="316"/>
      <c r="Q801" s="290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</row>
    <row r="802">
      <c r="A802" s="115"/>
      <c r="B802" s="265"/>
      <c r="C802" s="115"/>
      <c r="D802" s="115"/>
      <c r="E802" s="115"/>
      <c r="F802" s="115"/>
      <c r="G802" s="115"/>
      <c r="H802" s="115"/>
      <c r="I802" s="115"/>
      <c r="J802" s="115"/>
      <c r="K802" s="316"/>
      <c r="L802" s="265"/>
      <c r="M802" s="115"/>
      <c r="N802" s="115"/>
      <c r="O802" s="290"/>
      <c r="P802" s="316"/>
      <c r="Q802" s="290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</row>
    <row r="803">
      <c r="A803" s="115"/>
      <c r="B803" s="265"/>
      <c r="C803" s="115"/>
      <c r="D803" s="115"/>
      <c r="E803" s="115"/>
      <c r="F803" s="115"/>
      <c r="G803" s="115"/>
      <c r="H803" s="115"/>
      <c r="I803" s="115"/>
      <c r="J803" s="115"/>
      <c r="K803" s="316"/>
      <c r="L803" s="265"/>
      <c r="M803" s="115"/>
      <c r="N803" s="115"/>
      <c r="O803" s="290"/>
      <c r="P803" s="316"/>
      <c r="Q803" s="290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</row>
    <row r="804">
      <c r="A804" s="115"/>
      <c r="B804" s="265"/>
      <c r="C804" s="115"/>
      <c r="D804" s="115"/>
      <c r="E804" s="115"/>
      <c r="F804" s="115"/>
      <c r="G804" s="115"/>
      <c r="H804" s="115"/>
      <c r="I804" s="115"/>
      <c r="J804" s="115"/>
      <c r="K804" s="316"/>
      <c r="L804" s="265"/>
      <c r="M804" s="115"/>
      <c r="N804" s="115"/>
      <c r="O804" s="290"/>
      <c r="P804" s="316"/>
      <c r="Q804" s="290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</row>
    <row r="805">
      <c r="A805" s="115"/>
      <c r="B805" s="265"/>
      <c r="C805" s="115"/>
      <c r="D805" s="115"/>
      <c r="E805" s="115"/>
      <c r="F805" s="115"/>
      <c r="G805" s="115"/>
      <c r="H805" s="115"/>
      <c r="I805" s="115"/>
      <c r="J805" s="115"/>
      <c r="K805" s="316"/>
      <c r="L805" s="265"/>
      <c r="M805" s="115"/>
      <c r="N805" s="115"/>
      <c r="O805" s="290"/>
      <c r="P805" s="316"/>
      <c r="Q805" s="290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</row>
    <row r="806">
      <c r="A806" s="115"/>
      <c r="B806" s="265"/>
      <c r="C806" s="115"/>
      <c r="D806" s="115"/>
      <c r="E806" s="115"/>
      <c r="F806" s="115"/>
      <c r="G806" s="115"/>
      <c r="H806" s="115"/>
      <c r="I806" s="115"/>
      <c r="J806" s="115"/>
      <c r="K806" s="316"/>
      <c r="L806" s="265"/>
      <c r="M806" s="115"/>
      <c r="N806" s="115"/>
      <c r="O806" s="290"/>
      <c r="P806" s="316"/>
      <c r="Q806" s="290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</row>
    <row r="807">
      <c r="A807" s="115"/>
      <c r="B807" s="265"/>
      <c r="C807" s="115"/>
      <c r="D807" s="115"/>
      <c r="E807" s="115"/>
      <c r="F807" s="115"/>
      <c r="G807" s="115"/>
      <c r="H807" s="115"/>
      <c r="I807" s="115"/>
      <c r="J807" s="115"/>
      <c r="K807" s="316"/>
      <c r="L807" s="265"/>
      <c r="M807" s="115"/>
      <c r="N807" s="115"/>
      <c r="O807" s="290"/>
      <c r="P807" s="316"/>
      <c r="Q807" s="290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</row>
    <row r="808">
      <c r="A808" s="115"/>
      <c r="B808" s="265"/>
      <c r="C808" s="115"/>
      <c r="D808" s="115"/>
      <c r="E808" s="115"/>
      <c r="F808" s="115"/>
      <c r="G808" s="115"/>
      <c r="H808" s="115"/>
      <c r="I808" s="115"/>
      <c r="J808" s="115"/>
      <c r="K808" s="316"/>
      <c r="L808" s="265"/>
      <c r="M808" s="115"/>
      <c r="N808" s="115"/>
      <c r="O808" s="290"/>
      <c r="P808" s="316"/>
      <c r="Q808" s="290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</row>
    <row r="809">
      <c r="A809" s="115"/>
      <c r="B809" s="265"/>
      <c r="C809" s="115"/>
      <c r="D809" s="115"/>
      <c r="E809" s="115"/>
      <c r="F809" s="115"/>
      <c r="G809" s="115"/>
      <c r="H809" s="115"/>
      <c r="I809" s="115"/>
      <c r="J809" s="115"/>
      <c r="K809" s="316"/>
      <c r="L809" s="265"/>
      <c r="M809" s="115"/>
      <c r="N809" s="115"/>
      <c r="O809" s="290"/>
      <c r="P809" s="316"/>
      <c r="Q809" s="290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</row>
    <row r="810">
      <c r="A810" s="115"/>
      <c r="B810" s="265"/>
      <c r="C810" s="115"/>
      <c r="D810" s="115"/>
      <c r="E810" s="115"/>
      <c r="F810" s="115"/>
      <c r="G810" s="115"/>
      <c r="H810" s="115"/>
      <c r="I810" s="115"/>
      <c r="J810" s="115"/>
      <c r="K810" s="316"/>
      <c r="L810" s="265"/>
      <c r="M810" s="115"/>
      <c r="N810" s="115"/>
      <c r="O810" s="290"/>
      <c r="P810" s="316"/>
      <c r="Q810" s="290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</row>
    <row r="811">
      <c r="A811" s="115"/>
      <c r="B811" s="265"/>
      <c r="C811" s="115"/>
      <c r="D811" s="115"/>
      <c r="E811" s="115"/>
      <c r="F811" s="115"/>
      <c r="G811" s="115"/>
      <c r="H811" s="115"/>
      <c r="I811" s="115"/>
      <c r="J811" s="115"/>
      <c r="K811" s="316"/>
      <c r="L811" s="265"/>
      <c r="M811" s="115"/>
      <c r="N811" s="115"/>
      <c r="O811" s="290"/>
      <c r="P811" s="316"/>
      <c r="Q811" s="290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</row>
    <row r="812">
      <c r="A812" s="115"/>
      <c r="B812" s="265"/>
      <c r="C812" s="115"/>
      <c r="D812" s="115"/>
      <c r="E812" s="115"/>
      <c r="F812" s="115"/>
      <c r="G812" s="115"/>
      <c r="H812" s="115"/>
      <c r="I812" s="115"/>
      <c r="J812" s="115"/>
      <c r="K812" s="316"/>
      <c r="L812" s="265"/>
      <c r="M812" s="115"/>
      <c r="N812" s="115"/>
      <c r="O812" s="290"/>
      <c r="P812" s="316"/>
      <c r="Q812" s="290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</row>
    <row r="813">
      <c r="A813" s="115"/>
      <c r="B813" s="265"/>
      <c r="C813" s="115"/>
      <c r="D813" s="115"/>
      <c r="E813" s="115"/>
      <c r="F813" s="115"/>
      <c r="G813" s="115"/>
      <c r="H813" s="115"/>
      <c r="I813" s="115"/>
      <c r="J813" s="115"/>
      <c r="K813" s="316"/>
      <c r="L813" s="265"/>
      <c r="M813" s="115"/>
      <c r="N813" s="115"/>
      <c r="O813" s="290"/>
      <c r="P813" s="316"/>
      <c r="Q813" s="290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</row>
    <row r="814">
      <c r="A814" s="115"/>
      <c r="B814" s="265"/>
      <c r="C814" s="115"/>
      <c r="D814" s="115"/>
      <c r="E814" s="115"/>
      <c r="F814" s="115"/>
      <c r="G814" s="115"/>
      <c r="H814" s="115"/>
      <c r="I814" s="115"/>
      <c r="J814" s="115"/>
      <c r="K814" s="316"/>
      <c r="L814" s="265"/>
      <c r="M814" s="115"/>
      <c r="N814" s="115"/>
      <c r="O814" s="290"/>
      <c r="P814" s="316"/>
      <c r="Q814" s="290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</row>
    <row r="815">
      <c r="A815" s="115"/>
      <c r="B815" s="265"/>
      <c r="C815" s="115"/>
      <c r="D815" s="115"/>
      <c r="E815" s="115"/>
      <c r="F815" s="115"/>
      <c r="G815" s="115"/>
      <c r="H815" s="115"/>
      <c r="I815" s="115"/>
      <c r="J815" s="115"/>
      <c r="K815" s="316"/>
      <c r="L815" s="265"/>
      <c r="M815" s="115"/>
      <c r="N815" s="115"/>
      <c r="O815" s="290"/>
      <c r="P815" s="316"/>
      <c r="Q815" s="290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</row>
    <row r="816">
      <c r="A816" s="115"/>
      <c r="B816" s="265"/>
      <c r="C816" s="115"/>
      <c r="D816" s="115"/>
      <c r="E816" s="115"/>
      <c r="F816" s="115"/>
      <c r="G816" s="115"/>
      <c r="H816" s="115"/>
      <c r="I816" s="115"/>
      <c r="J816" s="115"/>
      <c r="K816" s="316"/>
      <c r="L816" s="265"/>
      <c r="M816" s="115"/>
      <c r="N816" s="115"/>
      <c r="O816" s="290"/>
      <c r="P816" s="316"/>
      <c r="Q816" s="290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</row>
    <row r="817">
      <c r="A817" s="115"/>
      <c r="B817" s="265"/>
      <c r="C817" s="115"/>
      <c r="D817" s="115"/>
      <c r="E817" s="115"/>
      <c r="F817" s="115"/>
      <c r="G817" s="115"/>
      <c r="H817" s="115"/>
      <c r="I817" s="115"/>
      <c r="J817" s="115"/>
      <c r="K817" s="316"/>
      <c r="L817" s="265"/>
      <c r="M817" s="115"/>
      <c r="N817" s="115"/>
      <c r="O817" s="290"/>
      <c r="P817" s="316"/>
      <c r="Q817" s="290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</row>
    <row r="818">
      <c r="A818" s="115"/>
      <c r="B818" s="265"/>
      <c r="C818" s="115"/>
      <c r="D818" s="115"/>
      <c r="E818" s="115"/>
      <c r="F818" s="115"/>
      <c r="G818" s="115"/>
      <c r="H818" s="115"/>
      <c r="I818" s="115"/>
      <c r="J818" s="115"/>
      <c r="K818" s="316"/>
      <c r="L818" s="265"/>
      <c r="M818" s="115"/>
      <c r="N818" s="115"/>
      <c r="O818" s="290"/>
      <c r="P818" s="316"/>
      <c r="Q818" s="290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</row>
    <row r="819">
      <c r="A819" s="115"/>
      <c r="B819" s="265"/>
      <c r="C819" s="115"/>
      <c r="D819" s="115"/>
      <c r="E819" s="115"/>
      <c r="F819" s="115"/>
      <c r="G819" s="115"/>
      <c r="H819" s="115"/>
      <c r="I819" s="115"/>
      <c r="J819" s="115"/>
      <c r="K819" s="316"/>
      <c r="L819" s="265"/>
      <c r="M819" s="115"/>
      <c r="N819" s="115"/>
      <c r="O819" s="290"/>
      <c r="P819" s="316"/>
      <c r="Q819" s="290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</row>
    <row r="820">
      <c r="A820" s="115"/>
      <c r="B820" s="265"/>
      <c r="C820" s="115"/>
      <c r="D820" s="115"/>
      <c r="E820" s="115"/>
      <c r="F820" s="115"/>
      <c r="G820" s="115"/>
      <c r="H820" s="115"/>
      <c r="I820" s="115"/>
      <c r="J820" s="115"/>
      <c r="K820" s="316"/>
      <c r="L820" s="265"/>
      <c r="M820" s="115"/>
      <c r="N820" s="115"/>
      <c r="O820" s="290"/>
      <c r="P820" s="316"/>
      <c r="Q820" s="290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</row>
    <row r="821">
      <c r="A821" s="115"/>
      <c r="B821" s="265"/>
      <c r="C821" s="115"/>
      <c r="D821" s="115"/>
      <c r="E821" s="115"/>
      <c r="F821" s="115"/>
      <c r="G821" s="115"/>
      <c r="H821" s="115"/>
      <c r="I821" s="115"/>
      <c r="J821" s="115"/>
      <c r="K821" s="316"/>
      <c r="L821" s="265"/>
      <c r="M821" s="115"/>
      <c r="N821" s="115"/>
      <c r="O821" s="290"/>
      <c r="P821" s="316"/>
      <c r="Q821" s="290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</row>
    <row r="822">
      <c r="A822" s="115"/>
      <c r="B822" s="265"/>
      <c r="C822" s="115"/>
      <c r="D822" s="115"/>
      <c r="E822" s="115"/>
      <c r="F822" s="115"/>
      <c r="G822" s="115"/>
      <c r="H822" s="115"/>
      <c r="I822" s="115"/>
      <c r="J822" s="115"/>
      <c r="K822" s="316"/>
      <c r="L822" s="265"/>
      <c r="M822" s="115"/>
      <c r="N822" s="115"/>
      <c r="O822" s="290"/>
      <c r="P822" s="316"/>
      <c r="Q822" s="290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</row>
    <row r="823">
      <c r="A823" s="115"/>
      <c r="B823" s="265"/>
      <c r="C823" s="115"/>
      <c r="D823" s="115"/>
      <c r="E823" s="115"/>
      <c r="F823" s="115"/>
      <c r="G823" s="115"/>
      <c r="H823" s="115"/>
      <c r="I823" s="115"/>
      <c r="J823" s="115"/>
      <c r="K823" s="316"/>
      <c r="L823" s="265"/>
      <c r="M823" s="115"/>
      <c r="N823" s="115"/>
      <c r="O823" s="290"/>
      <c r="P823" s="316"/>
      <c r="Q823" s="290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</row>
    <row r="824">
      <c r="A824" s="115"/>
      <c r="B824" s="265"/>
      <c r="C824" s="115"/>
      <c r="D824" s="115"/>
      <c r="E824" s="115"/>
      <c r="F824" s="115"/>
      <c r="G824" s="115"/>
      <c r="H824" s="115"/>
      <c r="I824" s="115"/>
      <c r="J824" s="115"/>
      <c r="K824" s="316"/>
      <c r="L824" s="265"/>
      <c r="M824" s="115"/>
      <c r="N824" s="115"/>
      <c r="O824" s="290"/>
      <c r="P824" s="316"/>
      <c r="Q824" s="290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</row>
    <row r="825">
      <c r="A825" s="115"/>
      <c r="B825" s="265"/>
      <c r="C825" s="115"/>
      <c r="D825" s="115"/>
      <c r="E825" s="115"/>
      <c r="F825" s="115"/>
      <c r="G825" s="115"/>
      <c r="H825" s="115"/>
      <c r="I825" s="115"/>
      <c r="J825" s="115"/>
      <c r="K825" s="316"/>
      <c r="L825" s="265"/>
      <c r="M825" s="115"/>
      <c r="N825" s="115"/>
      <c r="O825" s="290"/>
      <c r="P825" s="316"/>
      <c r="Q825" s="290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</row>
    <row r="826">
      <c r="A826" s="115"/>
      <c r="B826" s="265"/>
      <c r="C826" s="115"/>
      <c r="D826" s="115"/>
      <c r="E826" s="115"/>
      <c r="F826" s="115"/>
      <c r="G826" s="115"/>
      <c r="H826" s="115"/>
      <c r="I826" s="115"/>
      <c r="J826" s="115"/>
      <c r="K826" s="316"/>
      <c r="L826" s="265"/>
      <c r="M826" s="115"/>
      <c r="N826" s="115"/>
      <c r="O826" s="290"/>
      <c r="P826" s="316"/>
      <c r="Q826" s="290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</row>
    <row r="827">
      <c r="A827" s="115"/>
      <c r="B827" s="265"/>
      <c r="C827" s="115"/>
      <c r="D827" s="115"/>
      <c r="E827" s="115"/>
      <c r="F827" s="115"/>
      <c r="G827" s="115"/>
      <c r="H827" s="115"/>
      <c r="I827" s="115"/>
      <c r="J827" s="115"/>
      <c r="K827" s="316"/>
      <c r="L827" s="265"/>
      <c r="M827" s="115"/>
      <c r="N827" s="115"/>
      <c r="O827" s="290"/>
      <c r="P827" s="316"/>
      <c r="Q827" s="290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</row>
    <row r="828">
      <c r="A828" s="115"/>
      <c r="B828" s="265"/>
      <c r="C828" s="115"/>
      <c r="D828" s="115"/>
      <c r="E828" s="115"/>
      <c r="F828" s="115"/>
      <c r="G828" s="115"/>
      <c r="H828" s="115"/>
      <c r="I828" s="115"/>
      <c r="J828" s="115"/>
      <c r="K828" s="316"/>
      <c r="L828" s="265"/>
      <c r="M828" s="115"/>
      <c r="N828" s="115"/>
      <c r="O828" s="290"/>
      <c r="P828" s="316"/>
      <c r="Q828" s="290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</row>
    <row r="829">
      <c r="A829" s="115"/>
      <c r="B829" s="265"/>
      <c r="C829" s="115"/>
      <c r="D829" s="115"/>
      <c r="E829" s="115"/>
      <c r="F829" s="115"/>
      <c r="G829" s="115"/>
      <c r="H829" s="115"/>
      <c r="I829" s="115"/>
      <c r="J829" s="115"/>
      <c r="K829" s="316"/>
      <c r="L829" s="265"/>
      <c r="M829" s="115"/>
      <c r="N829" s="115"/>
      <c r="O829" s="290"/>
      <c r="P829" s="316"/>
      <c r="Q829" s="290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</row>
    <row r="830">
      <c r="A830" s="115"/>
      <c r="B830" s="265"/>
      <c r="C830" s="115"/>
      <c r="D830" s="115"/>
      <c r="E830" s="115"/>
      <c r="F830" s="115"/>
      <c r="G830" s="115"/>
      <c r="H830" s="115"/>
      <c r="I830" s="115"/>
      <c r="J830" s="115"/>
      <c r="K830" s="316"/>
      <c r="L830" s="265"/>
      <c r="M830" s="115"/>
      <c r="N830" s="115"/>
      <c r="O830" s="290"/>
      <c r="P830" s="316"/>
      <c r="Q830" s="290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</row>
    <row r="831">
      <c r="A831" s="115"/>
      <c r="B831" s="265"/>
      <c r="C831" s="115"/>
      <c r="D831" s="115"/>
      <c r="E831" s="115"/>
      <c r="F831" s="115"/>
      <c r="G831" s="115"/>
      <c r="H831" s="115"/>
      <c r="I831" s="115"/>
      <c r="J831" s="115"/>
      <c r="K831" s="316"/>
      <c r="L831" s="265"/>
      <c r="M831" s="115"/>
      <c r="N831" s="115"/>
      <c r="O831" s="290"/>
      <c r="P831" s="316"/>
      <c r="Q831" s="290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</row>
    <row r="832">
      <c r="A832" s="115"/>
      <c r="B832" s="265"/>
      <c r="C832" s="115"/>
      <c r="D832" s="115"/>
      <c r="E832" s="115"/>
      <c r="F832" s="115"/>
      <c r="G832" s="115"/>
      <c r="H832" s="115"/>
      <c r="I832" s="115"/>
      <c r="J832" s="115"/>
      <c r="K832" s="316"/>
      <c r="L832" s="265"/>
      <c r="M832" s="115"/>
      <c r="N832" s="115"/>
      <c r="O832" s="290"/>
      <c r="P832" s="316"/>
      <c r="Q832" s="290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</row>
    <row r="833">
      <c r="A833" s="115"/>
      <c r="B833" s="265"/>
      <c r="C833" s="115"/>
      <c r="D833" s="115"/>
      <c r="E833" s="115"/>
      <c r="F833" s="115"/>
      <c r="G833" s="115"/>
      <c r="H833" s="115"/>
      <c r="I833" s="115"/>
      <c r="J833" s="115"/>
      <c r="K833" s="316"/>
      <c r="L833" s="265"/>
      <c r="M833" s="115"/>
      <c r="N833" s="115"/>
      <c r="O833" s="290"/>
      <c r="P833" s="316"/>
      <c r="Q833" s="290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</row>
    <row r="834">
      <c r="A834" s="115"/>
      <c r="B834" s="265"/>
      <c r="C834" s="115"/>
      <c r="D834" s="115"/>
      <c r="E834" s="115"/>
      <c r="F834" s="115"/>
      <c r="G834" s="115"/>
      <c r="H834" s="115"/>
      <c r="I834" s="115"/>
      <c r="J834" s="115"/>
      <c r="K834" s="316"/>
      <c r="L834" s="265"/>
      <c r="M834" s="115"/>
      <c r="N834" s="115"/>
      <c r="O834" s="290"/>
      <c r="P834" s="316"/>
      <c r="Q834" s="290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</row>
    <row r="835">
      <c r="A835" s="115"/>
      <c r="B835" s="265"/>
      <c r="C835" s="115"/>
      <c r="D835" s="115"/>
      <c r="E835" s="115"/>
      <c r="F835" s="115"/>
      <c r="G835" s="115"/>
      <c r="H835" s="115"/>
      <c r="I835" s="115"/>
      <c r="J835" s="115"/>
      <c r="K835" s="316"/>
      <c r="L835" s="265"/>
      <c r="M835" s="115"/>
      <c r="N835" s="115"/>
      <c r="O835" s="290"/>
      <c r="P835" s="316"/>
      <c r="Q835" s="290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</row>
    <row r="836">
      <c r="A836" s="115"/>
      <c r="B836" s="265"/>
      <c r="C836" s="115"/>
      <c r="D836" s="115"/>
      <c r="E836" s="115"/>
      <c r="F836" s="115"/>
      <c r="G836" s="115"/>
      <c r="H836" s="115"/>
      <c r="I836" s="115"/>
      <c r="J836" s="115"/>
      <c r="K836" s="316"/>
      <c r="L836" s="265"/>
      <c r="M836" s="115"/>
      <c r="N836" s="115"/>
      <c r="O836" s="290"/>
      <c r="P836" s="316"/>
      <c r="Q836" s="290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</row>
    <row r="837">
      <c r="A837" s="115"/>
      <c r="B837" s="265"/>
      <c r="C837" s="115"/>
      <c r="D837" s="115"/>
      <c r="E837" s="115"/>
      <c r="F837" s="115"/>
      <c r="G837" s="115"/>
      <c r="H837" s="115"/>
      <c r="I837" s="115"/>
      <c r="J837" s="115"/>
      <c r="K837" s="316"/>
      <c r="L837" s="265"/>
      <c r="M837" s="115"/>
      <c r="N837" s="115"/>
      <c r="O837" s="290"/>
      <c r="P837" s="316"/>
      <c r="Q837" s="290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</row>
    <row r="838">
      <c r="A838" s="115"/>
      <c r="B838" s="265"/>
      <c r="C838" s="115"/>
      <c r="D838" s="115"/>
      <c r="E838" s="115"/>
      <c r="F838" s="115"/>
      <c r="G838" s="115"/>
      <c r="H838" s="115"/>
      <c r="I838" s="115"/>
      <c r="J838" s="115"/>
      <c r="K838" s="316"/>
      <c r="L838" s="265"/>
      <c r="M838" s="115"/>
      <c r="N838" s="115"/>
      <c r="O838" s="290"/>
      <c r="P838" s="316"/>
      <c r="Q838" s="290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</row>
    <row r="839">
      <c r="A839" s="115"/>
      <c r="B839" s="265"/>
      <c r="C839" s="115"/>
      <c r="D839" s="115"/>
      <c r="E839" s="115"/>
      <c r="F839" s="115"/>
      <c r="G839" s="115"/>
      <c r="H839" s="115"/>
      <c r="I839" s="115"/>
      <c r="J839" s="115"/>
      <c r="K839" s="316"/>
      <c r="L839" s="265"/>
      <c r="M839" s="115"/>
      <c r="N839" s="115"/>
      <c r="O839" s="290"/>
      <c r="P839" s="316"/>
      <c r="Q839" s="290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</row>
    <row r="840">
      <c r="A840" s="115"/>
      <c r="B840" s="265"/>
      <c r="C840" s="115"/>
      <c r="D840" s="115"/>
      <c r="E840" s="115"/>
      <c r="F840" s="115"/>
      <c r="G840" s="115"/>
      <c r="H840" s="115"/>
      <c r="I840" s="115"/>
      <c r="J840" s="115"/>
      <c r="K840" s="316"/>
      <c r="L840" s="265"/>
      <c r="M840" s="115"/>
      <c r="N840" s="115"/>
      <c r="O840" s="290"/>
      <c r="P840" s="316"/>
      <c r="Q840" s="290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</row>
    <row r="841">
      <c r="A841" s="115"/>
      <c r="B841" s="265"/>
      <c r="C841" s="115"/>
      <c r="D841" s="115"/>
      <c r="E841" s="115"/>
      <c r="F841" s="115"/>
      <c r="G841" s="115"/>
      <c r="H841" s="115"/>
      <c r="I841" s="115"/>
      <c r="J841" s="115"/>
      <c r="K841" s="316"/>
      <c r="L841" s="265"/>
      <c r="M841" s="115"/>
      <c r="N841" s="115"/>
      <c r="O841" s="290"/>
      <c r="P841" s="316"/>
      <c r="Q841" s="290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</row>
    <row r="842">
      <c r="A842" s="115"/>
      <c r="B842" s="265"/>
      <c r="C842" s="115"/>
      <c r="D842" s="115"/>
      <c r="E842" s="115"/>
      <c r="F842" s="115"/>
      <c r="G842" s="115"/>
      <c r="H842" s="115"/>
      <c r="I842" s="115"/>
      <c r="J842" s="115"/>
      <c r="K842" s="316"/>
      <c r="L842" s="265"/>
      <c r="M842" s="115"/>
      <c r="N842" s="115"/>
      <c r="O842" s="290"/>
      <c r="P842" s="316"/>
      <c r="Q842" s="290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</row>
    <row r="843">
      <c r="A843" s="115"/>
      <c r="B843" s="265"/>
      <c r="C843" s="115"/>
      <c r="D843" s="115"/>
      <c r="E843" s="115"/>
      <c r="F843" s="115"/>
      <c r="G843" s="115"/>
      <c r="H843" s="115"/>
      <c r="I843" s="115"/>
      <c r="J843" s="115"/>
      <c r="K843" s="316"/>
      <c r="L843" s="265"/>
      <c r="M843" s="115"/>
      <c r="N843" s="115"/>
      <c r="O843" s="290"/>
      <c r="P843" s="316"/>
      <c r="Q843" s="290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</row>
    <row r="844">
      <c r="A844" s="115"/>
      <c r="B844" s="265"/>
      <c r="C844" s="115"/>
      <c r="D844" s="115"/>
      <c r="E844" s="115"/>
      <c r="F844" s="115"/>
      <c r="G844" s="115"/>
      <c r="H844" s="115"/>
      <c r="I844" s="115"/>
      <c r="J844" s="115"/>
      <c r="K844" s="316"/>
      <c r="L844" s="265"/>
      <c r="M844" s="115"/>
      <c r="N844" s="115"/>
      <c r="O844" s="290"/>
      <c r="P844" s="316"/>
      <c r="Q844" s="290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</row>
    <row r="845">
      <c r="A845" s="115"/>
      <c r="B845" s="265"/>
      <c r="C845" s="115"/>
      <c r="D845" s="115"/>
      <c r="E845" s="115"/>
      <c r="F845" s="115"/>
      <c r="G845" s="115"/>
      <c r="H845" s="115"/>
      <c r="I845" s="115"/>
      <c r="J845" s="115"/>
      <c r="K845" s="316"/>
      <c r="L845" s="265"/>
      <c r="M845" s="115"/>
      <c r="N845" s="115"/>
      <c r="O845" s="290"/>
      <c r="P845" s="316"/>
      <c r="Q845" s="290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</row>
    <row r="846">
      <c r="A846" s="115"/>
      <c r="B846" s="265"/>
      <c r="C846" s="115"/>
      <c r="D846" s="115"/>
      <c r="E846" s="115"/>
      <c r="F846" s="115"/>
      <c r="G846" s="115"/>
      <c r="H846" s="115"/>
      <c r="I846" s="115"/>
      <c r="J846" s="115"/>
      <c r="K846" s="316"/>
      <c r="L846" s="265"/>
      <c r="M846" s="115"/>
      <c r="N846" s="115"/>
      <c r="O846" s="290"/>
      <c r="P846" s="316"/>
      <c r="Q846" s="290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</row>
    <row r="847">
      <c r="A847" s="115"/>
      <c r="B847" s="265"/>
      <c r="C847" s="115"/>
      <c r="D847" s="115"/>
      <c r="E847" s="115"/>
      <c r="F847" s="115"/>
      <c r="G847" s="115"/>
      <c r="H847" s="115"/>
      <c r="I847" s="115"/>
      <c r="J847" s="115"/>
      <c r="K847" s="316"/>
      <c r="L847" s="265"/>
      <c r="M847" s="115"/>
      <c r="N847" s="115"/>
      <c r="O847" s="290"/>
      <c r="P847" s="316"/>
      <c r="Q847" s="290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</row>
    <row r="848">
      <c r="A848" s="115"/>
      <c r="B848" s="265"/>
      <c r="C848" s="115"/>
      <c r="D848" s="115"/>
      <c r="E848" s="115"/>
      <c r="F848" s="115"/>
      <c r="G848" s="115"/>
      <c r="H848" s="115"/>
      <c r="I848" s="115"/>
      <c r="J848" s="115"/>
      <c r="K848" s="316"/>
      <c r="L848" s="265"/>
      <c r="M848" s="115"/>
      <c r="N848" s="115"/>
      <c r="O848" s="290"/>
      <c r="P848" s="316"/>
      <c r="Q848" s="290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</row>
    <row r="849">
      <c r="A849" s="115"/>
      <c r="B849" s="265"/>
      <c r="C849" s="115"/>
      <c r="D849" s="115"/>
      <c r="E849" s="115"/>
      <c r="F849" s="115"/>
      <c r="G849" s="115"/>
      <c r="H849" s="115"/>
      <c r="I849" s="115"/>
      <c r="J849" s="115"/>
      <c r="K849" s="316"/>
      <c r="L849" s="265"/>
      <c r="M849" s="115"/>
      <c r="N849" s="115"/>
      <c r="O849" s="290"/>
      <c r="P849" s="316"/>
      <c r="Q849" s="290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</row>
    <row r="850">
      <c r="A850" s="115"/>
      <c r="B850" s="265"/>
      <c r="C850" s="115"/>
      <c r="D850" s="115"/>
      <c r="E850" s="115"/>
      <c r="F850" s="115"/>
      <c r="G850" s="115"/>
      <c r="H850" s="115"/>
      <c r="I850" s="115"/>
      <c r="J850" s="115"/>
      <c r="K850" s="316"/>
      <c r="L850" s="265"/>
      <c r="M850" s="115"/>
      <c r="N850" s="115"/>
      <c r="O850" s="290"/>
      <c r="P850" s="316"/>
      <c r="Q850" s="290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</row>
    <row r="851">
      <c r="A851" s="115"/>
      <c r="B851" s="265"/>
      <c r="C851" s="115"/>
      <c r="D851" s="115"/>
      <c r="E851" s="115"/>
      <c r="F851" s="115"/>
      <c r="G851" s="115"/>
      <c r="H851" s="115"/>
      <c r="I851" s="115"/>
      <c r="J851" s="115"/>
      <c r="K851" s="316"/>
      <c r="L851" s="265"/>
      <c r="M851" s="115"/>
      <c r="N851" s="115"/>
      <c r="O851" s="290"/>
      <c r="P851" s="316"/>
      <c r="Q851" s="290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</row>
    <row r="852">
      <c r="A852" s="115"/>
      <c r="B852" s="265"/>
      <c r="C852" s="115"/>
      <c r="D852" s="115"/>
      <c r="E852" s="115"/>
      <c r="F852" s="115"/>
      <c r="G852" s="115"/>
      <c r="H852" s="115"/>
      <c r="I852" s="115"/>
      <c r="J852" s="115"/>
      <c r="K852" s="316"/>
      <c r="L852" s="265"/>
      <c r="M852" s="115"/>
      <c r="N852" s="115"/>
      <c r="O852" s="290"/>
      <c r="P852" s="316"/>
      <c r="Q852" s="290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</row>
    <row r="853">
      <c r="A853" s="115"/>
      <c r="B853" s="265"/>
      <c r="C853" s="115"/>
      <c r="D853" s="115"/>
      <c r="E853" s="115"/>
      <c r="F853" s="115"/>
      <c r="G853" s="115"/>
      <c r="H853" s="115"/>
      <c r="I853" s="115"/>
      <c r="J853" s="115"/>
      <c r="K853" s="316"/>
      <c r="L853" s="265"/>
      <c r="M853" s="115"/>
      <c r="N853" s="115"/>
      <c r="O853" s="290"/>
      <c r="P853" s="316"/>
      <c r="Q853" s="290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</row>
    <row r="854">
      <c r="A854" s="115"/>
      <c r="B854" s="265"/>
      <c r="C854" s="115"/>
      <c r="D854" s="115"/>
      <c r="E854" s="115"/>
      <c r="F854" s="115"/>
      <c r="G854" s="115"/>
      <c r="H854" s="115"/>
      <c r="I854" s="115"/>
      <c r="J854" s="115"/>
      <c r="K854" s="316"/>
      <c r="L854" s="265"/>
      <c r="M854" s="115"/>
      <c r="N854" s="115"/>
      <c r="O854" s="290"/>
      <c r="P854" s="316"/>
      <c r="Q854" s="290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</row>
    <row r="855">
      <c r="A855" s="115"/>
      <c r="B855" s="265"/>
      <c r="C855" s="115"/>
      <c r="D855" s="115"/>
      <c r="E855" s="115"/>
      <c r="F855" s="115"/>
      <c r="G855" s="115"/>
      <c r="H855" s="115"/>
      <c r="I855" s="115"/>
      <c r="J855" s="115"/>
      <c r="K855" s="316"/>
      <c r="L855" s="265"/>
      <c r="M855" s="115"/>
      <c r="N855" s="115"/>
      <c r="O855" s="290"/>
      <c r="P855" s="316"/>
      <c r="Q855" s="290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</row>
    <row r="856">
      <c r="A856" s="115"/>
      <c r="B856" s="265"/>
      <c r="C856" s="115"/>
      <c r="D856" s="115"/>
      <c r="E856" s="115"/>
      <c r="F856" s="115"/>
      <c r="G856" s="115"/>
      <c r="H856" s="115"/>
      <c r="I856" s="115"/>
      <c r="J856" s="115"/>
      <c r="K856" s="316"/>
      <c r="L856" s="265"/>
      <c r="M856" s="115"/>
      <c r="N856" s="115"/>
      <c r="O856" s="290"/>
      <c r="P856" s="316"/>
      <c r="Q856" s="290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</row>
    <row r="857">
      <c r="A857" s="115"/>
      <c r="B857" s="265"/>
      <c r="C857" s="115"/>
      <c r="D857" s="115"/>
      <c r="E857" s="115"/>
      <c r="F857" s="115"/>
      <c r="G857" s="115"/>
      <c r="H857" s="115"/>
      <c r="I857" s="115"/>
      <c r="J857" s="115"/>
      <c r="K857" s="316"/>
      <c r="L857" s="265"/>
      <c r="M857" s="115"/>
      <c r="N857" s="115"/>
      <c r="O857" s="290"/>
      <c r="P857" s="316"/>
      <c r="Q857" s="290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</row>
    <row r="858">
      <c r="A858" s="115"/>
      <c r="B858" s="265"/>
      <c r="C858" s="115"/>
      <c r="D858" s="115"/>
      <c r="E858" s="115"/>
      <c r="F858" s="115"/>
      <c r="G858" s="115"/>
      <c r="H858" s="115"/>
      <c r="I858" s="115"/>
      <c r="J858" s="115"/>
      <c r="K858" s="316"/>
      <c r="L858" s="265"/>
      <c r="M858" s="115"/>
      <c r="N858" s="115"/>
      <c r="O858" s="290"/>
      <c r="P858" s="316"/>
      <c r="Q858" s="290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</row>
    <row r="859">
      <c r="A859" s="115"/>
      <c r="B859" s="265"/>
      <c r="C859" s="115"/>
      <c r="D859" s="115"/>
      <c r="E859" s="115"/>
      <c r="F859" s="115"/>
      <c r="G859" s="115"/>
      <c r="H859" s="115"/>
      <c r="I859" s="115"/>
      <c r="J859" s="115"/>
      <c r="K859" s="316"/>
      <c r="L859" s="265"/>
      <c r="M859" s="115"/>
      <c r="N859" s="115"/>
      <c r="O859" s="290"/>
      <c r="P859" s="316"/>
      <c r="Q859" s="290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</row>
    <row r="860">
      <c r="A860" s="115"/>
      <c r="B860" s="265"/>
      <c r="C860" s="115"/>
      <c r="D860" s="115"/>
      <c r="E860" s="115"/>
      <c r="F860" s="115"/>
      <c r="G860" s="115"/>
      <c r="H860" s="115"/>
      <c r="I860" s="115"/>
      <c r="J860" s="115"/>
      <c r="K860" s="316"/>
      <c r="L860" s="265"/>
      <c r="M860" s="115"/>
      <c r="N860" s="115"/>
      <c r="O860" s="290"/>
      <c r="P860" s="316"/>
      <c r="Q860" s="290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</row>
    <row r="861">
      <c r="A861" s="115"/>
      <c r="B861" s="265"/>
      <c r="C861" s="115"/>
      <c r="D861" s="115"/>
      <c r="E861" s="115"/>
      <c r="F861" s="115"/>
      <c r="G861" s="115"/>
      <c r="H861" s="115"/>
      <c r="I861" s="115"/>
      <c r="J861" s="115"/>
      <c r="K861" s="316"/>
      <c r="L861" s="265"/>
      <c r="M861" s="115"/>
      <c r="N861" s="115"/>
      <c r="O861" s="290"/>
      <c r="P861" s="316"/>
      <c r="Q861" s="290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</row>
    <row r="862">
      <c r="A862" s="115"/>
      <c r="B862" s="265"/>
      <c r="C862" s="115"/>
      <c r="D862" s="115"/>
      <c r="E862" s="115"/>
      <c r="F862" s="115"/>
      <c r="G862" s="115"/>
      <c r="H862" s="115"/>
      <c r="I862" s="115"/>
      <c r="J862" s="115"/>
      <c r="K862" s="316"/>
      <c r="L862" s="265"/>
      <c r="M862" s="115"/>
      <c r="N862" s="115"/>
      <c r="O862" s="290"/>
      <c r="P862" s="316"/>
      <c r="Q862" s="290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</row>
    <row r="863">
      <c r="A863" s="115"/>
      <c r="B863" s="265"/>
      <c r="C863" s="115"/>
      <c r="D863" s="115"/>
      <c r="E863" s="115"/>
      <c r="F863" s="115"/>
      <c r="G863" s="115"/>
      <c r="H863" s="115"/>
      <c r="I863" s="115"/>
      <c r="J863" s="115"/>
      <c r="K863" s="316"/>
      <c r="L863" s="265"/>
      <c r="M863" s="115"/>
      <c r="N863" s="115"/>
      <c r="O863" s="290"/>
      <c r="P863" s="316"/>
      <c r="Q863" s="290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</row>
    <row r="864">
      <c r="A864" s="115"/>
      <c r="B864" s="265"/>
      <c r="C864" s="115"/>
      <c r="D864" s="115"/>
      <c r="E864" s="115"/>
      <c r="F864" s="115"/>
      <c r="G864" s="115"/>
      <c r="H864" s="115"/>
      <c r="I864" s="115"/>
      <c r="J864" s="115"/>
      <c r="K864" s="316"/>
      <c r="L864" s="265"/>
      <c r="M864" s="115"/>
      <c r="N864" s="115"/>
      <c r="O864" s="290"/>
      <c r="P864" s="316"/>
      <c r="Q864" s="290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</row>
    <row r="865">
      <c r="A865" s="115"/>
      <c r="B865" s="265"/>
      <c r="C865" s="115"/>
      <c r="D865" s="115"/>
      <c r="E865" s="115"/>
      <c r="F865" s="115"/>
      <c r="G865" s="115"/>
      <c r="H865" s="115"/>
      <c r="I865" s="115"/>
      <c r="J865" s="115"/>
      <c r="K865" s="316"/>
      <c r="L865" s="265"/>
      <c r="M865" s="115"/>
      <c r="N865" s="115"/>
      <c r="O865" s="290"/>
      <c r="P865" s="316"/>
      <c r="Q865" s="290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</row>
    <row r="866">
      <c r="A866" s="115"/>
      <c r="B866" s="265"/>
      <c r="C866" s="115"/>
      <c r="D866" s="115"/>
      <c r="E866" s="115"/>
      <c r="F866" s="115"/>
      <c r="G866" s="115"/>
      <c r="H866" s="115"/>
      <c r="I866" s="115"/>
      <c r="J866" s="115"/>
      <c r="K866" s="316"/>
      <c r="L866" s="265"/>
      <c r="M866" s="115"/>
      <c r="N866" s="115"/>
      <c r="O866" s="290"/>
      <c r="P866" s="316"/>
      <c r="Q866" s="290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</row>
    <row r="867">
      <c r="A867" s="115"/>
      <c r="B867" s="265"/>
      <c r="C867" s="115"/>
      <c r="D867" s="115"/>
      <c r="E867" s="115"/>
      <c r="F867" s="115"/>
      <c r="G867" s="115"/>
      <c r="H867" s="115"/>
      <c r="I867" s="115"/>
      <c r="J867" s="115"/>
      <c r="K867" s="316"/>
      <c r="L867" s="265"/>
      <c r="M867" s="115"/>
      <c r="N867" s="115"/>
      <c r="O867" s="290"/>
      <c r="P867" s="316"/>
      <c r="Q867" s="290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</row>
    <row r="868">
      <c r="A868" s="115"/>
      <c r="B868" s="265"/>
      <c r="C868" s="115"/>
      <c r="D868" s="115"/>
      <c r="E868" s="115"/>
      <c r="F868" s="115"/>
      <c r="G868" s="115"/>
      <c r="H868" s="115"/>
      <c r="I868" s="115"/>
      <c r="J868" s="115"/>
      <c r="K868" s="316"/>
      <c r="L868" s="265"/>
      <c r="M868" s="115"/>
      <c r="N868" s="115"/>
      <c r="O868" s="290"/>
      <c r="P868" s="316"/>
      <c r="Q868" s="290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</row>
    <row r="869">
      <c r="A869" s="115"/>
      <c r="B869" s="265"/>
      <c r="C869" s="115"/>
      <c r="D869" s="115"/>
      <c r="E869" s="115"/>
      <c r="F869" s="115"/>
      <c r="G869" s="115"/>
      <c r="H869" s="115"/>
      <c r="I869" s="115"/>
      <c r="J869" s="115"/>
      <c r="K869" s="316"/>
      <c r="L869" s="265"/>
      <c r="M869" s="115"/>
      <c r="N869" s="115"/>
      <c r="O869" s="290"/>
      <c r="P869" s="316"/>
      <c r="Q869" s="290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</row>
    <row r="870">
      <c r="A870" s="115"/>
      <c r="B870" s="265"/>
      <c r="C870" s="115"/>
      <c r="D870" s="115"/>
      <c r="E870" s="115"/>
      <c r="F870" s="115"/>
      <c r="G870" s="115"/>
      <c r="H870" s="115"/>
      <c r="I870" s="115"/>
      <c r="J870" s="115"/>
      <c r="K870" s="316"/>
      <c r="L870" s="265"/>
      <c r="M870" s="115"/>
      <c r="N870" s="115"/>
      <c r="O870" s="290"/>
      <c r="P870" s="316"/>
      <c r="Q870" s="290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</row>
    <row r="871">
      <c r="A871" s="115"/>
      <c r="B871" s="265"/>
      <c r="C871" s="115"/>
      <c r="D871" s="115"/>
      <c r="E871" s="115"/>
      <c r="F871" s="115"/>
      <c r="G871" s="115"/>
      <c r="H871" s="115"/>
      <c r="I871" s="115"/>
      <c r="J871" s="115"/>
      <c r="K871" s="316"/>
      <c r="L871" s="265"/>
      <c r="M871" s="115"/>
      <c r="N871" s="115"/>
      <c r="O871" s="290"/>
      <c r="P871" s="316"/>
      <c r="Q871" s="290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</row>
    <row r="872">
      <c r="A872" s="115"/>
      <c r="B872" s="265"/>
      <c r="C872" s="115"/>
      <c r="D872" s="115"/>
      <c r="E872" s="115"/>
      <c r="F872" s="115"/>
      <c r="G872" s="115"/>
      <c r="H872" s="115"/>
      <c r="I872" s="115"/>
      <c r="J872" s="115"/>
      <c r="K872" s="316"/>
      <c r="L872" s="265"/>
      <c r="M872" s="115"/>
      <c r="N872" s="115"/>
      <c r="O872" s="290"/>
      <c r="P872" s="316"/>
      <c r="Q872" s="290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</row>
    <row r="873">
      <c r="A873" s="115"/>
      <c r="B873" s="265"/>
      <c r="C873" s="115"/>
      <c r="D873" s="115"/>
      <c r="E873" s="115"/>
      <c r="F873" s="115"/>
      <c r="G873" s="115"/>
      <c r="H873" s="115"/>
      <c r="I873" s="115"/>
      <c r="J873" s="115"/>
      <c r="K873" s="316"/>
      <c r="L873" s="265"/>
      <c r="M873" s="115"/>
      <c r="N873" s="115"/>
      <c r="O873" s="290"/>
      <c r="P873" s="316"/>
      <c r="Q873" s="290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</row>
    <row r="874">
      <c r="A874" s="115"/>
      <c r="B874" s="265"/>
      <c r="C874" s="115"/>
      <c r="D874" s="115"/>
      <c r="E874" s="115"/>
      <c r="F874" s="115"/>
      <c r="G874" s="115"/>
      <c r="H874" s="115"/>
      <c r="I874" s="115"/>
      <c r="J874" s="115"/>
      <c r="K874" s="316"/>
      <c r="L874" s="265"/>
      <c r="M874" s="115"/>
      <c r="N874" s="115"/>
      <c r="O874" s="290"/>
      <c r="P874" s="316"/>
      <c r="Q874" s="290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</row>
    <row r="875">
      <c r="A875" s="115"/>
      <c r="B875" s="265"/>
      <c r="C875" s="115"/>
      <c r="D875" s="115"/>
      <c r="E875" s="115"/>
      <c r="F875" s="115"/>
      <c r="G875" s="115"/>
      <c r="H875" s="115"/>
      <c r="I875" s="115"/>
      <c r="J875" s="115"/>
      <c r="K875" s="316"/>
      <c r="L875" s="265"/>
      <c r="M875" s="115"/>
      <c r="N875" s="115"/>
      <c r="O875" s="290"/>
      <c r="P875" s="316"/>
      <c r="Q875" s="290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</row>
    <row r="876">
      <c r="A876" s="115"/>
      <c r="B876" s="265"/>
      <c r="C876" s="115"/>
      <c r="D876" s="115"/>
      <c r="E876" s="115"/>
      <c r="F876" s="115"/>
      <c r="G876" s="115"/>
      <c r="H876" s="115"/>
      <c r="I876" s="115"/>
      <c r="J876" s="115"/>
      <c r="K876" s="316"/>
      <c r="L876" s="265"/>
      <c r="M876" s="115"/>
      <c r="N876" s="115"/>
      <c r="O876" s="290"/>
      <c r="P876" s="316"/>
      <c r="Q876" s="290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</row>
    <row r="877">
      <c r="A877" s="115"/>
      <c r="B877" s="265"/>
      <c r="C877" s="115"/>
      <c r="D877" s="115"/>
      <c r="E877" s="115"/>
      <c r="F877" s="115"/>
      <c r="G877" s="115"/>
      <c r="H877" s="115"/>
      <c r="I877" s="115"/>
      <c r="J877" s="115"/>
      <c r="K877" s="316"/>
      <c r="L877" s="265"/>
      <c r="M877" s="115"/>
      <c r="N877" s="115"/>
      <c r="O877" s="290"/>
      <c r="P877" s="316"/>
      <c r="Q877" s="290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</row>
    <row r="878">
      <c r="A878" s="115"/>
      <c r="B878" s="265"/>
      <c r="C878" s="115"/>
      <c r="D878" s="115"/>
      <c r="E878" s="115"/>
      <c r="F878" s="115"/>
      <c r="G878" s="115"/>
      <c r="H878" s="115"/>
      <c r="I878" s="115"/>
      <c r="J878" s="115"/>
      <c r="K878" s="316"/>
      <c r="L878" s="265"/>
      <c r="M878" s="115"/>
      <c r="N878" s="115"/>
      <c r="O878" s="290"/>
      <c r="P878" s="316"/>
      <c r="Q878" s="290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</row>
    <row r="879">
      <c r="A879" s="115"/>
      <c r="B879" s="265"/>
      <c r="C879" s="115"/>
      <c r="D879" s="115"/>
      <c r="E879" s="115"/>
      <c r="F879" s="115"/>
      <c r="G879" s="115"/>
      <c r="H879" s="115"/>
      <c r="I879" s="115"/>
      <c r="J879" s="115"/>
      <c r="K879" s="316"/>
      <c r="L879" s="265"/>
      <c r="M879" s="115"/>
      <c r="N879" s="115"/>
      <c r="O879" s="290"/>
      <c r="P879" s="316"/>
      <c r="Q879" s="290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</row>
    <row r="880">
      <c r="A880" s="115"/>
      <c r="B880" s="265"/>
      <c r="C880" s="115"/>
      <c r="D880" s="115"/>
      <c r="E880" s="115"/>
      <c r="F880" s="115"/>
      <c r="G880" s="115"/>
      <c r="H880" s="115"/>
      <c r="I880" s="115"/>
      <c r="J880" s="115"/>
      <c r="K880" s="316"/>
      <c r="L880" s="265"/>
      <c r="M880" s="115"/>
      <c r="N880" s="115"/>
      <c r="O880" s="290"/>
      <c r="P880" s="316"/>
      <c r="Q880" s="290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</row>
    <row r="881">
      <c r="A881" s="115"/>
      <c r="B881" s="265"/>
      <c r="C881" s="115"/>
      <c r="D881" s="115"/>
      <c r="E881" s="115"/>
      <c r="F881" s="115"/>
      <c r="G881" s="115"/>
      <c r="H881" s="115"/>
      <c r="I881" s="115"/>
      <c r="J881" s="115"/>
      <c r="K881" s="316"/>
      <c r="L881" s="265"/>
      <c r="M881" s="115"/>
      <c r="N881" s="115"/>
      <c r="O881" s="290"/>
      <c r="P881" s="316"/>
      <c r="Q881" s="290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</row>
    <row r="882">
      <c r="A882" s="115"/>
      <c r="B882" s="265"/>
      <c r="C882" s="115"/>
      <c r="D882" s="115"/>
      <c r="E882" s="115"/>
      <c r="F882" s="115"/>
      <c r="G882" s="115"/>
      <c r="H882" s="115"/>
      <c r="I882" s="115"/>
      <c r="J882" s="115"/>
      <c r="K882" s="316"/>
      <c r="L882" s="265"/>
      <c r="M882" s="115"/>
      <c r="N882" s="115"/>
      <c r="O882" s="290"/>
      <c r="P882" s="316"/>
      <c r="Q882" s="290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</row>
    <row r="883">
      <c r="A883" s="115"/>
      <c r="B883" s="265"/>
      <c r="C883" s="115"/>
      <c r="D883" s="115"/>
      <c r="E883" s="115"/>
      <c r="F883" s="115"/>
      <c r="G883" s="115"/>
      <c r="H883" s="115"/>
      <c r="I883" s="115"/>
      <c r="J883" s="115"/>
      <c r="K883" s="316"/>
      <c r="L883" s="265"/>
      <c r="M883" s="115"/>
      <c r="N883" s="115"/>
      <c r="O883" s="290"/>
      <c r="P883" s="316"/>
      <c r="Q883" s="290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</row>
    <row r="884">
      <c r="A884" s="115"/>
      <c r="B884" s="265"/>
      <c r="C884" s="115"/>
      <c r="D884" s="115"/>
      <c r="E884" s="115"/>
      <c r="F884" s="115"/>
      <c r="G884" s="115"/>
      <c r="H884" s="115"/>
      <c r="I884" s="115"/>
      <c r="J884" s="115"/>
      <c r="K884" s="316"/>
      <c r="L884" s="265"/>
      <c r="M884" s="115"/>
      <c r="N884" s="115"/>
      <c r="O884" s="290"/>
      <c r="P884" s="316"/>
      <c r="Q884" s="290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</row>
    <row r="885">
      <c r="A885" s="115"/>
      <c r="B885" s="265"/>
      <c r="C885" s="115"/>
      <c r="D885" s="115"/>
      <c r="E885" s="115"/>
      <c r="F885" s="115"/>
      <c r="G885" s="115"/>
      <c r="H885" s="115"/>
      <c r="I885" s="115"/>
      <c r="J885" s="115"/>
      <c r="K885" s="316"/>
      <c r="L885" s="265"/>
      <c r="M885" s="115"/>
      <c r="N885" s="115"/>
      <c r="O885" s="290"/>
      <c r="P885" s="316"/>
      <c r="Q885" s="290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</row>
    <row r="886">
      <c r="A886" s="115"/>
      <c r="B886" s="265"/>
      <c r="C886" s="115"/>
      <c r="D886" s="115"/>
      <c r="E886" s="115"/>
      <c r="F886" s="115"/>
      <c r="G886" s="115"/>
      <c r="H886" s="115"/>
      <c r="I886" s="115"/>
      <c r="J886" s="115"/>
      <c r="K886" s="316"/>
      <c r="L886" s="265"/>
      <c r="M886" s="115"/>
      <c r="N886" s="115"/>
      <c r="O886" s="290"/>
      <c r="P886" s="316"/>
      <c r="Q886" s="290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</row>
    <row r="887">
      <c r="A887" s="115"/>
      <c r="B887" s="265"/>
      <c r="C887" s="115"/>
      <c r="D887" s="115"/>
      <c r="E887" s="115"/>
      <c r="F887" s="115"/>
      <c r="G887" s="115"/>
      <c r="H887" s="115"/>
      <c r="I887" s="115"/>
      <c r="J887" s="115"/>
      <c r="K887" s="316"/>
      <c r="L887" s="265"/>
      <c r="M887" s="115"/>
      <c r="N887" s="115"/>
      <c r="O887" s="290"/>
      <c r="P887" s="316"/>
      <c r="Q887" s="290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</row>
    <row r="888">
      <c r="A888" s="115"/>
      <c r="B888" s="265"/>
      <c r="C888" s="115"/>
      <c r="D888" s="115"/>
      <c r="E888" s="115"/>
      <c r="F888" s="115"/>
      <c r="G888" s="115"/>
      <c r="H888" s="115"/>
      <c r="I888" s="115"/>
      <c r="J888" s="115"/>
      <c r="K888" s="316"/>
      <c r="L888" s="265"/>
      <c r="M888" s="115"/>
      <c r="N888" s="115"/>
      <c r="O888" s="290"/>
      <c r="P888" s="316"/>
      <c r="Q888" s="290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</row>
    <row r="889">
      <c r="A889" s="115"/>
      <c r="B889" s="265"/>
      <c r="C889" s="115"/>
      <c r="D889" s="115"/>
      <c r="E889" s="115"/>
      <c r="F889" s="115"/>
      <c r="G889" s="115"/>
      <c r="H889" s="115"/>
      <c r="I889" s="115"/>
      <c r="J889" s="115"/>
      <c r="K889" s="316"/>
      <c r="L889" s="265"/>
      <c r="M889" s="115"/>
      <c r="N889" s="115"/>
      <c r="O889" s="290"/>
      <c r="P889" s="316"/>
      <c r="Q889" s="290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</row>
    <row r="890">
      <c r="A890" s="115"/>
      <c r="B890" s="265"/>
      <c r="C890" s="115"/>
      <c r="D890" s="115"/>
      <c r="E890" s="115"/>
      <c r="F890" s="115"/>
      <c r="G890" s="115"/>
      <c r="H890" s="115"/>
      <c r="I890" s="115"/>
      <c r="J890" s="115"/>
      <c r="K890" s="316"/>
      <c r="L890" s="265"/>
      <c r="M890" s="115"/>
      <c r="N890" s="115"/>
      <c r="O890" s="290"/>
      <c r="P890" s="316"/>
      <c r="Q890" s="290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</row>
    <row r="891">
      <c r="A891" s="115"/>
      <c r="B891" s="265"/>
      <c r="C891" s="115"/>
      <c r="D891" s="115"/>
      <c r="E891" s="115"/>
      <c r="F891" s="115"/>
      <c r="G891" s="115"/>
      <c r="H891" s="115"/>
      <c r="I891" s="115"/>
      <c r="J891" s="115"/>
      <c r="K891" s="316"/>
      <c r="L891" s="265"/>
      <c r="M891" s="115"/>
      <c r="N891" s="115"/>
      <c r="O891" s="290"/>
      <c r="P891" s="316"/>
      <c r="Q891" s="290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</row>
    <row r="892">
      <c r="A892" s="115"/>
      <c r="B892" s="265"/>
      <c r="C892" s="115"/>
      <c r="D892" s="115"/>
      <c r="E892" s="115"/>
      <c r="F892" s="115"/>
      <c r="G892" s="115"/>
      <c r="H892" s="115"/>
      <c r="I892" s="115"/>
      <c r="J892" s="115"/>
      <c r="K892" s="316"/>
      <c r="L892" s="265"/>
      <c r="M892" s="115"/>
      <c r="N892" s="115"/>
      <c r="O892" s="290"/>
      <c r="P892" s="316"/>
      <c r="Q892" s="290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</row>
    <row r="893">
      <c r="A893" s="115"/>
      <c r="B893" s="265"/>
      <c r="C893" s="115"/>
      <c r="D893" s="115"/>
      <c r="E893" s="115"/>
      <c r="F893" s="115"/>
      <c r="G893" s="115"/>
      <c r="H893" s="115"/>
      <c r="I893" s="115"/>
      <c r="J893" s="115"/>
      <c r="K893" s="316"/>
      <c r="L893" s="265"/>
      <c r="M893" s="115"/>
      <c r="N893" s="115"/>
      <c r="O893" s="290"/>
      <c r="P893" s="316"/>
      <c r="Q893" s="290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</row>
    <row r="894">
      <c r="A894" s="115"/>
      <c r="B894" s="265"/>
      <c r="C894" s="115"/>
      <c r="D894" s="115"/>
      <c r="E894" s="115"/>
      <c r="F894" s="115"/>
      <c r="G894" s="115"/>
      <c r="H894" s="115"/>
      <c r="I894" s="115"/>
      <c r="J894" s="115"/>
      <c r="K894" s="316"/>
      <c r="L894" s="265"/>
      <c r="M894" s="115"/>
      <c r="N894" s="115"/>
      <c r="O894" s="290"/>
      <c r="P894" s="316"/>
      <c r="Q894" s="290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</row>
    <row r="895">
      <c r="A895" s="115"/>
      <c r="B895" s="265"/>
      <c r="C895" s="115"/>
      <c r="D895" s="115"/>
      <c r="E895" s="115"/>
      <c r="F895" s="115"/>
      <c r="G895" s="115"/>
      <c r="H895" s="115"/>
      <c r="I895" s="115"/>
      <c r="J895" s="115"/>
      <c r="K895" s="316"/>
      <c r="L895" s="265"/>
      <c r="M895" s="115"/>
      <c r="N895" s="115"/>
      <c r="O895" s="290"/>
      <c r="P895" s="316"/>
      <c r="Q895" s="290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</row>
    <row r="896">
      <c r="A896" s="115"/>
      <c r="B896" s="265"/>
      <c r="C896" s="115"/>
      <c r="D896" s="115"/>
      <c r="E896" s="115"/>
      <c r="F896" s="115"/>
      <c r="G896" s="115"/>
      <c r="H896" s="115"/>
      <c r="I896" s="115"/>
      <c r="J896" s="115"/>
      <c r="K896" s="316"/>
      <c r="L896" s="265"/>
      <c r="M896" s="115"/>
      <c r="N896" s="115"/>
      <c r="O896" s="290"/>
      <c r="P896" s="316"/>
      <c r="Q896" s="290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</row>
    <row r="897">
      <c r="A897" s="115"/>
      <c r="B897" s="265"/>
      <c r="C897" s="115"/>
      <c r="D897" s="115"/>
      <c r="E897" s="115"/>
      <c r="F897" s="115"/>
      <c r="G897" s="115"/>
      <c r="H897" s="115"/>
      <c r="I897" s="115"/>
      <c r="J897" s="115"/>
      <c r="K897" s="316"/>
      <c r="L897" s="265"/>
      <c r="M897" s="115"/>
      <c r="N897" s="115"/>
      <c r="O897" s="290"/>
      <c r="P897" s="316"/>
      <c r="Q897" s="290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</row>
    <row r="898">
      <c r="A898" s="115"/>
      <c r="B898" s="265"/>
      <c r="C898" s="115"/>
      <c r="D898" s="115"/>
      <c r="E898" s="115"/>
      <c r="F898" s="115"/>
      <c r="G898" s="115"/>
      <c r="H898" s="115"/>
      <c r="I898" s="115"/>
      <c r="J898" s="115"/>
      <c r="K898" s="316"/>
      <c r="L898" s="265"/>
      <c r="M898" s="115"/>
      <c r="N898" s="115"/>
      <c r="O898" s="290"/>
      <c r="P898" s="316"/>
      <c r="Q898" s="290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</row>
    <row r="899">
      <c r="A899" s="115"/>
      <c r="B899" s="265"/>
      <c r="C899" s="115"/>
      <c r="D899" s="115"/>
      <c r="E899" s="115"/>
      <c r="F899" s="115"/>
      <c r="G899" s="115"/>
      <c r="H899" s="115"/>
      <c r="I899" s="115"/>
      <c r="J899" s="115"/>
      <c r="K899" s="316"/>
      <c r="L899" s="265"/>
      <c r="M899" s="115"/>
      <c r="N899" s="115"/>
      <c r="O899" s="290"/>
      <c r="P899" s="316"/>
      <c r="Q899" s="290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</row>
    <row r="900">
      <c r="A900" s="115"/>
      <c r="B900" s="265"/>
      <c r="C900" s="115"/>
      <c r="D900" s="115"/>
      <c r="E900" s="115"/>
      <c r="F900" s="115"/>
      <c r="G900" s="115"/>
      <c r="H900" s="115"/>
      <c r="I900" s="115"/>
      <c r="J900" s="115"/>
      <c r="K900" s="316"/>
      <c r="L900" s="265"/>
      <c r="M900" s="115"/>
      <c r="N900" s="115"/>
      <c r="O900" s="290"/>
      <c r="P900" s="316"/>
      <c r="Q900" s="290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</row>
    <row r="901">
      <c r="A901" s="115"/>
      <c r="B901" s="265"/>
      <c r="C901" s="115"/>
      <c r="D901" s="115"/>
      <c r="E901" s="115"/>
      <c r="F901" s="115"/>
      <c r="G901" s="115"/>
      <c r="H901" s="115"/>
      <c r="I901" s="115"/>
      <c r="J901" s="115"/>
      <c r="K901" s="316"/>
      <c r="L901" s="265"/>
      <c r="M901" s="115"/>
      <c r="N901" s="115"/>
      <c r="O901" s="290"/>
      <c r="P901" s="316"/>
      <c r="Q901" s="290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</row>
    <row r="902">
      <c r="A902" s="115"/>
      <c r="B902" s="265"/>
      <c r="C902" s="115"/>
      <c r="D902" s="115"/>
      <c r="E902" s="115"/>
      <c r="F902" s="115"/>
      <c r="G902" s="115"/>
      <c r="H902" s="115"/>
      <c r="I902" s="115"/>
      <c r="J902" s="115"/>
      <c r="K902" s="316"/>
      <c r="L902" s="265"/>
      <c r="M902" s="115"/>
      <c r="N902" s="115"/>
      <c r="O902" s="290"/>
      <c r="P902" s="316"/>
      <c r="Q902" s="290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</row>
    <row r="903">
      <c r="A903" s="115"/>
      <c r="B903" s="265"/>
      <c r="C903" s="115"/>
      <c r="D903" s="115"/>
      <c r="E903" s="115"/>
      <c r="F903" s="115"/>
      <c r="G903" s="115"/>
      <c r="H903" s="115"/>
      <c r="I903" s="115"/>
      <c r="J903" s="115"/>
      <c r="K903" s="316"/>
      <c r="L903" s="265"/>
      <c r="M903" s="115"/>
      <c r="N903" s="115"/>
      <c r="O903" s="290"/>
      <c r="P903" s="316"/>
      <c r="Q903" s="290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</row>
    <row r="904">
      <c r="A904" s="115"/>
      <c r="B904" s="265"/>
      <c r="C904" s="115"/>
      <c r="D904" s="115"/>
      <c r="E904" s="115"/>
      <c r="F904" s="115"/>
      <c r="G904" s="115"/>
      <c r="H904" s="115"/>
      <c r="I904" s="115"/>
      <c r="J904" s="115"/>
      <c r="K904" s="316"/>
      <c r="L904" s="265"/>
      <c r="M904" s="115"/>
      <c r="N904" s="115"/>
      <c r="O904" s="290"/>
      <c r="P904" s="316"/>
      <c r="Q904" s="290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</row>
    <row r="905">
      <c r="A905" s="115"/>
      <c r="B905" s="265"/>
      <c r="C905" s="115"/>
      <c r="D905" s="115"/>
      <c r="E905" s="115"/>
      <c r="F905" s="115"/>
      <c r="G905" s="115"/>
      <c r="H905" s="115"/>
      <c r="I905" s="115"/>
      <c r="J905" s="115"/>
      <c r="K905" s="316"/>
      <c r="L905" s="265"/>
      <c r="M905" s="115"/>
      <c r="N905" s="115"/>
      <c r="O905" s="290"/>
      <c r="P905" s="316"/>
      <c r="Q905" s="290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</row>
    <row r="906">
      <c r="A906" s="115"/>
      <c r="B906" s="265"/>
      <c r="C906" s="115"/>
      <c r="D906" s="115"/>
      <c r="E906" s="115"/>
      <c r="F906" s="115"/>
      <c r="G906" s="115"/>
      <c r="H906" s="115"/>
      <c r="I906" s="115"/>
      <c r="J906" s="115"/>
      <c r="K906" s="316"/>
      <c r="L906" s="265"/>
      <c r="M906" s="115"/>
      <c r="N906" s="115"/>
      <c r="O906" s="290"/>
      <c r="P906" s="316"/>
      <c r="Q906" s="290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</row>
    <row r="907">
      <c r="A907" s="115"/>
      <c r="B907" s="265"/>
      <c r="C907" s="115"/>
      <c r="D907" s="115"/>
      <c r="E907" s="115"/>
      <c r="F907" s="115"/>
      <c r="G907" s="115"/>
      <c r="H907" s="115"/>
      <c r="I907" s="115"/>
      <c r="J907" s="115"/>
      <c r="K907" s="316"/>
      <c r="L907" s="265"/>
      <c r="M907" s="115"/>
      <c r="N907" s="115"/>
      <c r="O907" s="290"/>
      <c r="P907" s="316"/>
      <c r="Q907" s="290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</row>
    <row r="908">
      <c r="A908" s="115"/>
      <c r="B908" s="265"/>
      <c r="C908" s="115"/>
      <c r="D908" s="115"/>
      <c r="E908" s="115"/>
      <c r="F908" s="115"/>
      <c r="G908" s="115"/>
      <c r="H908" s="115"/>
      <c r="I908" s="115"/>
      <c r="J908" s="115"/>
      <c r="K908" s="316"/>
      <c r="L908" s="265"/>
      <c r="M908" s="115"/>
      <c r="N908" s="115"/>
      <c r="O908" s="290"/>
      <c r="P908" s="316"/>
      <c r="Q908" s="290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</row>
    <row r="909">
      <c r="A909" s="115"/>
      <c r="B909" s="265"/>
      <c r="C909" s="115"/>
      <c r="D909" s="115"/>
      <c r="E909" s="115"/>
      <c r="F909" s="115"/>
      <c r="G909" s="115"/>
      <c r="H909" s="115"/>
      <c r="I909" s="115"/>
      <c r="J909" s="115"/>
      <c r="K909" s="316"/>
      <c r="L909" s="265"/>
      <c r="M909" s="115"/>
      <c r="N909" s="115"/>
      <c r="O909" s="290"/>
      <c r="P909" s="316"/>
      <c r="Q909" s="290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</row>
    <row r="910">
      <c r="A910" s="115"/>
      <c r="B910" s="265"/>
      <c r="C910" s="115"/>
      <c r="D910" s="115"/>
      <c r="E910" s="115"/>
      <c r="F910" s="115"/>
      <c r="G910" s="115"/>
      <c r="H910" s="115"/>
      <c r="I910" s="115"/>
      <c r="J910" s="115"/>
      <c r="K910" s="316"/>
      <c r="L910" s="265"/>
      <c r="M910" s="115"/>
      <c r="N910" s="115"/>
      <c r="O910" s="290"/>
      <c r="P910" s="316"/>
      <c r="Q910" s="290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</row>
    <row r="911">
      <c r="A911" s="115"/>
      <c r="B911" s="265"/>
      <c r="C911" s="115"/>
      <c r="D911" s="115"/>
      <c r="E911" s="115"/>
      <c r="F911" s="115"/>
      <c r="G911" s="115"/>
      <c r="H911" s="115"/>
      <c r="I911" s="115"/>
      <c r="J911" s="115"/>
      <c r="K911" s="316"/>
      <c r="L911" s="265"/>
      <c r="M911" s="115"/>
      <c r="N911" s="115"/>
      <c r="O911" s="290"/>
      <c r="P911" s="316"/>
      <c r="Q911" s="290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</row>
    <row r="912">
      <c r="A912" s="115"/>
      <c r="B912" s="265"/>
      <c r="C912" s="115"/>
      <c r="D912" s="115"/>
      <c r="E912" s="115"/>
      <c r="F912" s="115"/>
      <c r="G912" s="115"/>
      <c r="H912" s="115"/>
      <c r="I912" s="115"/>
      <c r="J912" s="115"/>
      <c r="K912" s="316"/>
      <c r="L912" s="265"/>
      <c r="M912" s="115"/>
      <c r="N912" s="115"/>
      <c r="O912" s="290"/>
      <c r="P912" s="316"/>
      <c r="Q912" s="290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</row>
    <row r="913">
      <c r="A913" s="115"/>
      <c r="B913" s="265"/>
      <c r="C913" s="115"/>
      <c r="D913" s="115"/>
      <c r="E913" s="115"/>
      <c r="F913" s="115"/>
      <c r="G913" s="115"/>
      <c r="H913" s="115"/>
      <c r="I913" s="115"/>
      <c r="J913" s="115"/>
      <c r="K913" s="316"/>
      <c r="L913" s="265"/>
      <c r="M913" s="115"/>
      <c r="N913" s="115"/>
      <c r="O913" s="290"/>
      <c r="P913" s="316"/>
      <c r="Q913" s="290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</row>
    <row r="914">
      <c r="A914" s="115"/>
      <c r="B914" s="265"/>
      <c r="C914" s="115"/>
      <c r="D914" s="115"/>
      <c r="E914" s="115"/>
      <c r="F914" s="115"/>
      <c r="G914" s="115"/>
      <c r="H914" s="115"/>
      <c r="I914" s="115"/>
      <c r="J914" s="115"/>
      <c r="K914" s="316"/>
      <c r="L914" s="265"/>
      <c r="M914" s="115"/>
      <c r="N914" s="115"/>
      <c r="O914" s="290"/>
      <c r="P914" s="316"/>
      <c r="Q914" s="290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</row>
    <row r="915">
      <c r="A915" s="115"/>
      <c r="B915" s="265"/>
      <c r="C915" s="115"/>
      <c r="D915" s="115"/>
      <c r="E915" s="115"/>
      <c r="F915" s="115"/>
      <c r="G915" s="115"/>
      <c r="H915" s="115"/>
      <c r="I915" s="115"/>
      <c r="J915" s="115"/>
      <c r="K915" s="316"/>
      <c r="L915" s="265"/>
      <c r="M915" s="115"/>
      <c r="N915" s="115"/>
      <c r="O915" s="290"/>
      <c r="P915" s="316"/>
      <c r="Q915" s="290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</row>
    <row r="916">
      <c r="A916" s="115"/>
      <c r="B916" s="265"/>
      <c r="C916" s="115"/>
      <c r="D916" s="115"/>
      <c r="E916" s="115"/>
      <c r="F916" s="115"/>
      <c r="G916" s="115"/>
      <c r="H916" s="115"/>
      <c r="I916" s="115"/>
      <c r="J916" s="115"/>
      <c r="K916" s="316"/>
      <c r="L916" s="265"/>
      <c r="M916" s="115"/>
      <c r="N916" s="115"/>
      <c r="O916" s="290"/>
      <c r="P916" s="316"/>
      <c r="Q916" s="290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</row>
    <row r="917">
      <c r="A917" s="115"/>
      <c r="B917" s="265"/>
      <c r="C917" s="115"/>
      <c r="D917" s="115"/>
      <c r="E917" s="115"/>
      <c r="F917" s="115"/>
      <c r="G917" s="115"/>
      <c r="H917" s="115"/>
      <c r="I917" s="115"/>
      <c r="J917" s="115"/>
      <c r="K917" s="316"/>
      <c r="L917" s="265"/>
      <c r="M917" s="115"/>
      <c r="N917" s="115"/>
      <c r="O917" s="290"/>
      <c r="P917" s="316"/>
      <c r="Q917" s="290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</row>
    <row r="918">
      <c r="A918" s="115"/>
      <c r="B918" s="265"/>
      <c r="C918" s="115"/>
      <c r="D918" s="115"/>
      <c r="E918" s="115"/>
      <c r="F918" s="115"/>
      <c r="G918" s="115"/>
      <c r="H918" s="115"/>
      <c r="I918" s="115"/>
      <c r="J918" s="115"/>
      <c r="K918" s="316"/>
      <c r="L918" s="265"/>
      <c r="M918" s="115"/>
      <c r="N918" s="115"/>
      <c r="O918" s="290"/>
      <c r="P918" s="316"/>
      <c r="Q918" s="290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</row>
    <row r="919">
      <c r="A919" s="115"/>
      <c r="B919" s="265"/>
      <c r="C919" s="115"/>
      <c r="D919" s="115"/>
      <c r="E919" s="115"/>
      <c r="F919" s="115"/>
      <c r="G919" s="115"/>
      <c r="H919" s="115"/>
      <c r="I919" s="115"/>
      <c r="J919" s="115"/>
      <c r="K919" s="316"/>
      <c r="L919" s="265"/>
      <c r="M919" s="115"/>
      <c r="N919" s="115"/>
      <c r="O919" s="290"/>
      <c r="P919" s="316"/>
      <c r="Q919" s="290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</row>
    <row r="920">
      <c r="A920" s="115"/>
      <c r="B920" s="265"/>
      <c r="C920" s="115"/>
      <c r="D920" s="115"/>
      <c r="E920" s="115"/>
      <c r="F920" s="115"/>
      <c r="G920" s="115"/>
      <c r="H920" s="115"/>
      <c r="I920" s="115"/>
      <c r="J920" s="115"/>
      <c r="K920" s="316"/>
      <c r="L920" s="265"/>
      <c r="M920" s="115"/>
      <c r="N920" s="115"/>
      <c r="O920" s="290"/>
      <c r="P920" s="316"/>
      <c r="Q920" s="290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</row>
    <row r="921">
      <c r="A921" s="115"/>
      <c r="B921" s="265"/>
      <c r="C921" s="115"/>
      <c r="D921" s="115"/>
      <c r="E921" s="115"/>
      <c r="F921" s="115"/>
      <c r="G921" s="115"/>
      <c r="H921" s="115"/>
      <c r="I921" s="115"/>
      <c r="J921" s="115"/>
      <c r="K921" s="316"/>
      <c r="L921" s="265"/>
      <c r="M921" s="115"/>
      <c r="N921" s="115"/>
      <c r="O921" s="290"/>
      <c r="P921" s="316"/>
      <c r="Q921" s="290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</row>
    <row r="922">
      <c r="A922" s="115"/>
      <c r="B922" s="265"/>
      <c r="C922" s="115"/>
      <c r="D922" s="115"/>
      <c r="E922" s="115"/>
      <c r="F922" s="115"/>
      <c r="G922" s="115"/>
      <c r="H922" s="115"/>
      <c r="I922" s="115"/>
      <c r="J922" s="115"/>
      <c r="K922" s="316"/>
      <c r="L922" s="265"/>
      <c r="M922" s="115"/>
      <c r="N922" s="115"/>
      <c r="O922" s="290"/>
      <c r="P922" s="316"/>
      <c r="Q922" s="290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</row>
    <row r="923">
      <c r="A923" s="115"/>
      <c r="B923" s="265"/>
      <c r="C923" s="115"/>
      <c r="D923" s="115"/>
      <c r="E923" s="115"/>
      <c r="F923" s="115"/>
      <c r="G923" s="115"/>
      <c r="H923" s="115"/>
      <c r="I923" s="115"/>
      <c r="J923" s="115"/>
      <c r="K923" s="316"/>
      <c r="L923" s="265"/>
      <c r="M923" s="115"/>
      <c r="N923" s="115"/>
      <c r="O923" s="290"/>
      <c r="P923" s="316"/>
      <c r="Q923" s="290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</row>
    <row r="924">
      <c r="A924" s="115"/>
      <c r="B924" s="265"/>
      <c r="C924" s="115"/>
      <c r="D924" s="115"/>
      <c r="E924" s="115"/>
      <c r="F924" s="115"/>
      <c r="G924" s="115"/>
      <c r="H924" s="115"/>
      <c r="I924" s="115"/>
      <c r="J924" s="115"/>
      <c r="K924" s="316"/>
      <c r="L924" s="265"/>
      <c r="M924" s="115"/>
      <c r="N924" s="115"/>
      <c r="O924" s="290"/>
      <c r="P924" s="316"/>
      <c r="Q924" s="290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</row>
    <row r="925">
      <c r="A925" s="115"/>
      <c r="B925" s="265"/>
      <c r="C925" s="115"/>
      <c r="D925" s="115"/>
      <c r="E925" s="115"/>
      <c r="F925" s="115"/>
      <c r="G925" s="115"/>
      <c r="H925" s="115"/>
      <c r="I925" s="115"/>
      <c r="J925" s="115"/>
      <c r="K925" s="316"/>
      <c r="L925" s="265"/>
      <c r="M925" s="115"/>
      <c r="N925" s="115"/>
      <c r="O925" s="290"/>
      <c r="P925" s="316"/>
      <c r="Q925" s="290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</row>
    <row r="926">
      <c r="A926" s="115"/>
      <c r="B926" s="265"/>
      <c r="C926" s="115"/>
      <c r="D926" s="115"/>
      <c r="E926" s="115"/>
      <c r="F926" s="115"/>
      <c r="G926" s="115"/>
      <c r="H926" s="115"/>
      <c r="I926" s="115"/>
      <c r="J926" s="115"/>
      <c r="K926" s="316"/>
      <c r="L926" s="265"/>
      <c r="M926" s="115"/>
      <c r="N926" s="115"/>
      <c r="O926" s="290"/>
      <c r="P926" s="316"/>
      <c r="Q926" s="290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</row>
    <row r="927">
      <c r="A927" s="115"/>
      <c r="B927" s="265"/>
      <c r="C927" s="115"/>
      <c r="D927" s="115"/>
      <c r="E927" s="115"/>
      <c r="F927" s="115"/>
      <c r="G927" s="115"/>
      <c r="H927" s="115"/>
      <c r="I927" s="115"/>
      <c r="J927" s="115"/>
      <c r="K927" s="316"/>
      <c r="L927" s="265"/>
      <c r="M927" s="115"/>
      <c r="N927" s="115"/>
      <c r="O927" s="290"/>
      <c r="P927" s="316"/>
      <c r="Q927" s="290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</row>
    <row r="928">
      <c r="A928" s="115"/>
      <c r="B928" s="265"/>
      <c r="C928" s="115"/>
      <c r="D928" s="115"/>
      <c r="E928" s="115"/>
      <c r="F928" s="115"/>
      <c r="G928" s="115"/>
      <c r="H928" s="115"/>
      <c r="I928" s="115"/>
      <c r="J928" s="115"/>
      <c r="K928" s="316"/>
      <c r="L928" s="265"/>
      <c r="M928" s="115"/>
      <c r="N928" s="115"/>
      <c r="O928" s="290"/>
      <c r="P928" s="316"/>
      <c r="Q928" s="290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</row>
    <row r="929">
      <c r="A929" s="115"/>
      <c r="B929" s="265"/>
      <c r="C929" s="115"/>
      <c r="D929" s="115"/>
      <c r="E929" s="115"/>
      <c r="F929" s="115"/>
      <c r="G929" s="115"/>
      <c r="H929" s="115"/>
      <c r="I929" s="115"/>
      <c r="J929" s="115"/>
      <c r="K929" s="316"/>
      <c r="L929" s="265"/>
      <c r="M929" s="115"/>
      <c r="N929" s="115"/>
      <c r="O929" s="290"/>
      <c r="P929" s="316"/>
      <c r="Q929" s="290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</row>
    <row r="930">
      <c r="A930" s="115"/>
      <c r="B930" s="265"/>
      <c r="C930" s="115"/>
      <c r="D930" s="115"/>
      <c r="E930" s="115"/>
      <c r="F930" s="115"/>
      <c r="G930" s="115"/>
      <c r="H930" s="115"/>
      <c r="I930" s="115"/>
      <c r="J930" s="115"/>
      <c r="K930" s="316"/>
      <c r="L930" s="265"/>
      <c r="M930" s="115"/>
      <c r="N930" s="115"/>
      <c r="O930" s="290"/>
      <c r="P930" s="316"/>
      <c r="Q930" s="290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</row>
    <row r="931">
      <c r="A931" s="115"/>
      <c r="B931" s="265"/>
      <c r="C931" s="115"/>
      <c r="D931" s="115"/>
      <c r="E931" s="115"/>
      <c r="F931" s="115"/>
      <c r="G931" s="115"/>
      <c r="H931" s="115"/>
      <c r="I931" s="115"/>
      <c r="J931" s="115"/>
      <c r="K931" s="316"/>
      <c r="L931" s="265"/>
      <c r="M931" s="115"/>
      <c r="N931" s="115"/>
      <c r="O931" s="290"/>
      <c r="P931" s="316"/>
      <c r="Q931" s="290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</row>
    <row r="932">
      <c r="A932" s="115"/>
      <c r="B932" s="265"/>
      <c r="C932" s="115"/>
      <c r="D932" s="115"/>
      <c r="E932" s="115"/>
      <c r="F932" s="115"/>
      <c r="G932" s="115"/>
      <c r="H932" s="115"/>
      <c r="I932" s="115"/>
      <c r="J932" s="115"/>
      <c r="K932" s="316"/>
      <c r="L932" s="265"/>
      <c r="M932" s="115"/>
      <c r="N932" s="115"/>
      <c r="O932" s="290"/>
      <c r="P932" s="316"/>
      <c r="Q932" s="290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</row>
    <row r="933">
      <c r="A933" s="115"/>
      <c r="B933" s="265"/>
      <c r="C933" s="115"/>
      <c r="D933" s="115"/>
      <c r="E933" s="115"/>
      <c r="F933" s="115"/>
      <c r="G933" s="115"/>
      <c r="H933" s="115"/>
      <c r="I933" s="115"/>
      <c r="J933" s="115"/>
      <c r="K933" s="316"/>
      <c r="L933" s="265"/>
      <c r="M933" s="115"/>
      <c r="N933" s="115"/>
      <c r="O933" s="290"/>
      <c r="P933" s="316"/>
      <c r="Q933" s="290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</row>
    <row r="934">
      <c r="A934" s="115"/>
      <c r="B934" s="265"/>
      <c r="C934" s="115"/>
      <c r="D934" s="115"/>
      <c r="E934" s="115"/>
      <c r="F934" s="115"/>
      <c r="G934" s="115"/>
      <c r="H934" s="115"/>
      <c r="I934" s="115"/>
      <c r="J934" s="115"/>
      <c r="K934" s="316"/>
      <c r="L934" s="265"/>
      <c r="M934" s="115"/>
      <c r="N934" s="115"/>
      <c r="O934" s="290"/>
      <c r="P934" s="316"/>
      <c r="Q934" s="290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</row>
    <row r="935">
      <c r="A935" s="115"/>
      <c r="B935" s="265"/>
      <c r="C935" s="115"/>
      <c r="D935" s="115"/>
      <c r="E935" s="115"/>
      <c r="F935" s="115"/>
      <c r="G935" s="115"/>
      <c r="H935" s="115"/>
      <c r="I935" s="115"/>
      <c r="J935" s="115"/>
      <c r="K935" s="316"/>
      <c r="L935" s="265"/>
      <c r="M935" s="115"/>
      <c r="N935" s="115"/>
      <c r="O935" s="290"/>
      <c r="P935" s="316"/>
      <c r="Q935" s="290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</row>
    <row r="936">
      <c r="A936" s="115"/>
      <c r="B936" s="265"/>
      <c r="C936" s="115"/>
      <c r="D936" s="115"/>
      <c r="E936" s="115"/>
      <c r="F936" s="115"/>
      <c r="G936" s="115"/>
      <c r="H936" s="115"/>
      <c r="I936" s="115"/>
      <c r="J936" s="115"/>
      <c r="K936" s="316"/>
      <c r="L936" s="265"/>
      <c r="M936" s="115"/>
      <c r="N936" s="115"/>
      <c r="O936" s="290"/>
      <c r="P936" s="316"/>
      <c r="Q936" s="290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</row>
    <row r="937">
      <c r="A937" s="115"/>
      <c r="B937" s="265"/>
      <c r="C937" s="115"/>
      <c r="D937" s="115"/>
      <c r="E937" s="115"/>
      <c r="F937" s="115"/>
      <c r="G937" s="115"/>
      <c r="H937" s="115"/>
      <c r="I937" s="115"/>
      <c r="J937" s="115"/>
      <c r="K937" s="316"/>
      <c r="L937" s="265"/>
      <c r="M937" s="115"/>
      <c r="N937" s="115"/>
      <c r="O937" s="290"/>
      <c r="P937" s="316"/>
      <c r="Q937" s="290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</row>
    <row r="938">
      <c r="A938" s="115"/>
      <c r="B938" s="265"/>
      <c r="C938" s="115"/>
      <c r="D938" s="115"/>
      <c r="E938" s="115"/>
      <c r="F938" s="115"/>
      <c r="G938" s="115"/>
      <c r="H938" s="115"/>
      <c r="I938" s="115"/>
      <c r="J938" s="115"/>
      <c r="K938" s="316"/>
      <c r="L938" s="265"/>
      <c r="M938" s="115"/>
      <c r="N938" s="115"/>
      <c r="O938" s="290"/>
      <c r="P938" s="316"/>
      <c r="Q938" s="290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</row>
    <row r="939">
      <c r="A939" s="115"/>
      <c r="B939" s="265"/>
      <c r="C939" s="115"/>
      <c r="D939" s="115"/>
      <c r="E939" s="115"/>
      <c r="F939" s="115"/>
      <c r="G939" s="115"/>
      <c r="H939" s="115"/>
      <c r="I939" s="115"/>
      <c r="J939" s="115"/>
      <c r="K939" s="316"/>
      <c r="L939" s="265"/>
      <c r="M939" s="115"/>
      <c r="N939" s="115"/>
      <c r="O939" s="290"/>
      <c r="P939" s="316"/>
      <c r="Q939" s="290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</row>
    <row r="940">
      <c r="A940" s="115"/>
      <c r="B940" s="265"/>
      <c r="C940" s="115"/>
      <c r="D940" s="115"/>
      <c r="E940" s="115"/>
      <c r="F940" s="115"/>
      <c r="G940" s="115"/>
      <c r="H940" s="115"/>
      <c r="I940" s="115"/>
      <c r="J940" s="115"/>
      <c r="K940" s="316"/>
      <c r="L940" s="265"/>
      <c r="M940" s="115"/>
      <c r="N940" s="115"/>
      <c r="O940" s="290"/>
      <c r="P940" s="316"/>
      <c r="Q940" s="290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</row>
    <row r="941">
      <c r="A941" s="115"/>
      <c r="B941" s="265"/>
      <c r="C941" s="115"/>
      <c r="D941" s="115"/>
      <c r="E941" s="115"/>
      <c r="F941" s="115"/>
      <c r="G941" s="115"/>
      <c r="H941" s="115"/>
      <c r="I941" s="115"/>
      <c r="J941" s="115"/>
      <c r="K941" s="316"/>
      <c r="L941" s="265"/>
      <c r="M941" s="115"/>
      <c r="N941" s="115"/>
      <c r="O941" s="290"/>
      <c r="P941" s="316"/>
      <c r="Q941" s="290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</row>
    <row r="942">
      <c r="A942" s="115"/>
      <c r="B942" s="265"/>
      <c r="C942" s="115"/>
      <c r="D942" s="115"/>
      <c r="E942" s="115"/>
      <c r="F942" s="115"/>
      <c r="G942" s="115"/>
      <c r="H942" s="115"/>
      <c r="I942" s="115"/>
      <c r="J942" s="115"/>
      <c r="K942" s="316"/>
      <c r="L942" s="265"/>
      <c r="M942" s="115"/>
      <c r="N942" s="115"/>
      <c r="O942" s="290"/>
      <c r="P942" s="316"/>
      <c r="Q942" s="290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</row>
    <row r="943">
      <c r="A943" s="115"/>
      <c r="B943" s="265"/>
      <c r="C943" s="115"/>
      <c r="D943" s="115"/>
      <c r="E943" s="115"/>
      <c r="F943" s="115"/>
      <c r="G943" s="115"/>
      <c r="H943" s="115"/>
      <c r="I943" s="115"/>
      <c r="J943" s="115"/>
      <c r="K943" s="316"/>
      <c r="L943" s="265"/>
      <c r="M943" s="115"/>
      <c r="N943" s="115"/>
      <c r="O943" s="290"/>
      <c r="P943" s="316"/>
      <c r="Q943" s="290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</row>
    <row r="944">
      <c r="A944" s="115"/>
      <c r="B944" s="265"/>
      <c r="C944" s="115"/>
      <c r="D944" s="115"/>
      <c r="E944" s="115"/>
      <c r="F944" s="115"/>
      <c r="G944" s="115"/>
      <c r="H944" s="115"/>
      <c r="I944" s="115"/>
      <c r="J944" s="115"/>
      <c r="K944" s="316"/>
      <c r="L944" s="265"/>
      <c r="M944" s="115"/>
      <c r="N944" s="115"/>
      <c r="O944" s="290"/>
      <c r="P944" s="316"/>
      <c r="Q944" s="290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</row>
    <row r="945">
      <c r="A945" s="115"/>
      <c r="B945" s="265"/>
      <c r="C945" s="115"/>
      <c r="D945" s="115"/>
      <c r="E945" s="115"/>
      <c r="F945" s="115"/>
      <c r="G945" s="115"/>
      <c r="H945" s="115"/>
      <c r="I945" s="115"/>
      <c r="J945" s="115"/>
      <c r="K945" s="316"/>
      <c r="L945" s="265"/>
      <c r="M945" s="115"/>
      <c r="N945" s="115"/>
      <c r="O945" s="290"/>
      <c r="P945" s="316"/>
      <c r="Q945" s="290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</row>
    <row r="946">
      <c r="A946" s="115"/>
      <c r="B946" s="265"/>
      <c r="C946" s="115"/>
      <c r="D946" s="115"/>
      <c r="E946" s="115"/>
      <c r="F946" s="115"/>
      <c r="G946" s="115"/>
      <c r="H946" s="115"/>
      <c r="I946" s="115"/>
      <c r="J946" s="115"/>
      <c r="K946" s="316"/>
      <c r="L946" s="265"/>
      <c r="M946" s="115"/>
      <c r="N946" s="115"/>
      <c r="O946" s="290"/>
      <c r="P946" s="316"/>
      <c r="Q946" s="290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</row>
    <row r="947">
      <c r="A947" s="115"/>
      <c r="B947" s="265"/>
      <c r="C947" s="115"/>
      <c r="D947" s="115"/>
      <c r="E947" s="115"/>
      <c r="F947" s="115"/>
      <c r="G947" s="115"/>
      <c r="H947" s="115"/>
      <c r="I947" s="115"/>
      <c r="J947" s="115"/>
      <c r="K947" s="316"/>
      <c r="L947" s="265"/>
      <c r="M947" s="115"/>
      <c r="N947" s="115"/>
      <c r="O947" s="290"/>
      <c r="P947" s="316"/>
      <c r="Q947" s="290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</row>
    <row r="948">
      <c r="A948" s="115"/>
      <c r="B948" s="265"/>
      <c r="C948" s="115"/>
      <c r="D948" s="115"/>
      <c r="E948" s="115"/>
      <c r="F948" s="115"/>
      <c r="G948" s="115"/>
      <c r="H948" s="115"/>
      <c r="I948" s="115"/>
      <c r="J948" s="115"/>
      <c r="K948" s="316"/>
      <c r="L948" s="265"/>
      <c r="M948" s="115"/>
      <c r="N948" s="115"/>
      <c r="O948" s="290"/>
      <c r="P948" s="316"/>
      <c r="Q948" s="290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</row>
    <row r="949">
      <c r="A949" s="115"/>
      <c r="B949" s="265"/>
      <c r="C949" s="115"/>
      <c r="D949" s="115"/>
      <c r="E949" s="115"/>
      <c r="F949" s="115"/>
      <c r="G949" s="115"/>
      <c r="H949" s="115"/>
      <c r="I949" s="115"/>
      <c r="J949" s="115"/>
      <c r="K949" s="316"/>
      <c r="L949" s="265"/>
      <c r="M949" s="115"/>
      <c r="N949" s="115"/>
      <c r="O949" s="290"/>
      <c r="P949" s="316"/>
      <c r="Q949" s="290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</row>
    <row r="950">
      <c r="A950" s="115"/>
      <c r="B950" s="265"/>
      <c r="C950" s="115"/>
      <c r="D950" s="115"/>
      <c r="E950" s="115"/>
      <c r="F950" s="115"/>
      <c r="G950" s="115"/>
      <c r="H950" s="115"/>
      <c r="I950" s="115"/>
      <c r="J950" s="115"/>
      <c r="K950" s="316"/>
      <c r="L950" s="265"/>
      <c r="M950" s="115"/>
      <c r="N950" s="115"/>
      <c r="O950" s="290"/>
      <c r="P950" s="316"/>
      <c r="Q950" s="290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</row>
    <row r="951">
      <c r="A951" s="115"/>
      <c r="B951" s="265"/>
      <c r="C951" s="115"/>
      <c r="D951" s="115"/>
      <c r="E951" s="115"/>
      <c r="F951" s="115"/>
      <c r="G951" s="115"/>
      <c r="H951" s="115"/>
      <c r="I951" s="115"/>
      <c r="J951" s="115"/>
      <c r="K951" s="316"/>
      <c r="L951" s="265"/>
      <c r="M951" s="115"/>
      <c r="N951" s="115"/>
      <c r="O951" s="290"/>
      <c r="P951" s="316"/>
      <c r="Q951" s="290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</row>
    <row r="952">
      <c r="A952" s="115"/>
      <c r="B952" s="265"/>
      <c r="C952" s="115"/>
      <c r="D952" s="115"/>
      <c r="E952" s="115"/>
      <c r="F952" s="115"/>
      <c r="G952" s="115"/>
      <c r="H952" s="115"/>
      <c r="I952" s="115"/>
      <c r="J952" s="115"/>
      <c r="K952" s="316"/>
      <c r="L952" s="265"/>
      <c r="M952" s="115"/>
      <c r="N952" s="115"/>
      <c r="O952" s="290"/>
      <c r="P952" s="316"/>
      <c r="Q952" s="290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</row>
    <row r="953">
      <c r="A953" s="115"/>
      <c r="B953" s="265"/>
      <c r="C953" s="115"/>
      <c r="D953" s="115"/>
      <c r="E953" s="115"/>
      <c r="F953" s="115"/>
      <c r="G953" s="115"/>
      <c r="H953" s="115"/>
      <c r="I953" s="115"/>
      <c r="J953" s="115"/>
      <c r="K953" s="316"/>
      <c r="L953" s="265"/>
      <c r="M953" s="115"/>
      <c r="N953" s="115"/>
      <c r="O953" s="290"/>
      <c r="P953" s="316"/>
      <c r="Q953" s="290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</row>
    <row r="954">
      <c r="A954" s="115"/>
      <c r="B954" s="265"/>
      <c r="C954" s="115"/>
      <c r="D954" s="115"/>
      <c r="E954" s="115"/>
      <c r="F954" s="115"/>
      <c r="G954" s="115"/>
      <c r="H954" s="115"/>
      <c r="I954" s="115"/>
      <c r="J954" s="115"/>
      <c r="K954" s="316"/>
      <c r="L954" s="265"/>
      <c r="M954" s="115"/>
      <c r="N954" s="115"/>
      <c r="O954" s="290"/>
      <c r="P954" s="316"/>
      <c r="Q954" s="290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</row>
    <row r="955">
      <c r="A955" s="115"/>
      <c r="B955" s="265"/>
      <c r="C955" s="115"/>
      <c r="D955" s="115"/>
      <c r="E955" s="115"/>
      <c r="F955" s="115"/>
      <c r="G955" s="115"/>
      <c r="H955" s="115"/>
      <c r="I955" s="115"/>
      <c r="J955" s="115"/>
      <c r="K955" s="316"/>
      <c r="L955" s="265"/>
      <c r="M955" s="115"/>
      <c r="N955" s="115"/>
      <c r="O955" s="290"/>
      <c r="P955" s="316"/>
      <c r="Q955" s="290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</row>
    <row r="956">
      <c r="A956" s="115"/>
      <c r="B956" s="265"/>
      <c r="C956" s="115"/>
      <c r="D956" s="115"/>
      <c r="E956" s="115"/>
      <c r="F956" s="115"/>
      <c r="G956" s="115"/>
      <c r="H956" s="115"/>
      <c r="I956" s="115"/>
      <c r="J956" s="115"/>
      <c r="K956" s="316"/>
      <c r="L956" s="265"/>
      <c r="M956" s="115"/>
      <c r="N956" s="115"/>
      <c r="O956" s="290"/>
      <c r="P956" s="316"/>
      <c r="Q956" s="290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</row>
    <row r="957">
      <c r="A957" s="115"/>
      <c r="B957" s="265"/>
      <c r="C957" s="115"/>
      <c r="D957" s="115"/>
      <c r="E957" s="115"/>
      <c r="F957" s="115"/>
      <c r="G957" s="115"/>
      <c r="H957" s="115"/>
      <c r="I957" s="115"/>
      <c r="J957" s="115"/>
      <c r="K957" s="316"/>
      <c r="L957" s="265"/>
      <c r="M957" s="115"/>
      <c r="N957" s="115"/>
      <c r="O957" s="290"/>
      <c r="P957" s="316"/>
      <c r="Q957" s="290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</row>
    <row r="958">
      <c r="A958" s="115"/>
      <c r="B958" s="265"/>
      <c r="C958" s="115"/>
      <c r="D958" s="115"/>
      <c r="E958" s="115"/>
      <c r="F958" s="115"/>
      <c r="G958" s="115"/>
      <c r="H958" s="115"/>
      <c r="I958" s="115"/>
      <c r="J958" s="115"/>
      <c r="K958" s="316"/>
      <c r="L958" s="265"/>
      <c r="M958" s="115"/>
      <c r="N958" s="115"/>
      <c r="O958" s="290"/>
      <c r="P958" s="316"/>
      <c r="Q958" s="290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</row>
    <row r="959">
      <c r="A959" s="115"/>
      <c r="B959" s="265"/>
      <c r="C959" s="115"/>
      <c r="D959" s="115"/>
      <c r="E959" s="115"/>
      <c r="F959" s="115"/>
      <c r="G959" s="115"/>
      <c r="H959" s="115"/>
      <c r="I959" s="115"/>
      <c r="J959" s="115"/>
      <c r="K959" s="316"/>
      <c r="L959" s="265"/>
      <c r="M959" s="115"/>
      <c r="N959" s="115"/>
      <c r="O959" s="290"/>
      <c r="P959" s="316"/>
      <c r="Q959" s="290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</row>
    <row r="960">
      <c r="A960" s="115"/>
      <c r="B960" s="265"/>
      <c r="C960" s="115"/>
      <c r="D960" s="115"/>
      <c r="E960" s="115"/>
      <c r="F960" s="115"/>
      <c r="G960" s="115"/>
      <c r="H960" s="115"/>
      <c r="I960" s="115"/>
      <c r="J960" s="115"/>
      <c r="K960" s="316"/>
      <c r="L960" s="265"/>
      <c r="M960" s="115"/>
      <c r="N960" s="115"/>
      <c r="O960" s="290"/>
      <c r="P960" s="316"/>
      <c r="Q960" s="290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</row>
    <row r="961">
      <c r="A961" s="115"/>
      <c r="B961" s="265"/>
      <c r="C961" s="115"/>
      <c r="D961" s="115"/>
      <c r="E961" s="115"/>
      <c r="F961" s="115"/>
      <c r="G961" s="115"/>
      <c r="H961" s="115"/>
      <c r="I961" s="115"/>
      <c r="J961" s="115"/>
      <c r="K961" s="316"/>
      <c r="L961" s="265"/>
      <c r="M961" s="115"/>
      <c r="N961" s="115"/>
      <c r="O961" s="290"/>
      <c r="P961" s="316"/>
      <c r="Q961" s="290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</row>
    <row r="962">
      <c r="A962" s="115"/>
      <c r="B962" s="265"/>
      <c r="C962" s="115"/>
      <c r="D962" s="115"/>
      <c r="E962" s="115"/>
      <c r="F962" s="115"/>
      <c r="G962" s="115"/>
      <c r="H962" s="115"/>
      <c r="I962" s="115"/>
      <c r="J962" s="115"/>
      <c r="K962" s="316"/>
      <c r="L962" s="265"/>
      <c r="M962" s="115"/>
      <c r="N962" s="115"/>
      <c r="O962" s="290"/>
      <c r="P962" s="316"/>
      <c r="Q962" s="290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</row>
    <row r="963">
      <c r="A963" s="115"/>
      <c r="B963" s="265"/>
      <c r="C963" s="115"/>
      <c r="D963" s="115"/>
      <c r="E963" s="115"/>
      <c r="F963" s="115"/>
      <c r="G963" s="115"/>
      <c r="H963" s="115"/>
      <c r="I963" s="115"/>
      <c r="J963" s="115"/>
      <c r="K963" s="316"/>
      <c r="L963" s="265"/>
      <c r="M963" s="115"/>
      <c r="N963" s="115"/>
      <c r="O963" s="290"/>
      <c r="P963" s="316"/>
      <c r="Q963" s="290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</row>
    <row r="964">
      <c r="A964" s="115"/>
      <c r="B964" s="265"/>
      <c r="C964" s="115"/>
      <c r="D964" s="115"/>
      <c r="E964" s="115"/>
      <c r="F964" s="115"/>
      <c r="G964" s="115"/>
      <c r="H964" s="115"/>
      <c r="I964" s="115"/>
      <c r="J964" s="115"/>
      <c r="K964" s="316"/>
      <c r="L964" s="265"/>
      <c r="M964" s="115"/>
      <c r="N964" s="115"/>
      <c r="O964" s="290"/>
      <c r="P964" s="316"/>
      <c r="Q964" s="290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</row>
    <row r="965">
      <c r="A965" s="115"/>
      <c r="B965" s="265"/>
      <c r="C965" s="115"/>
      <c r="D965" s="115"/>
      <c r="E965" s="115"/>
      <c r="F965" s="115"/>
      <c r="G965" s="115"/>
      <c r="H965" s="115"/>
      <c r="I965" s="115"/>
      <c r="J965" s="115"/>
      <c r="K965" s="316"/>
      <c r="L965" s="265"/>
      <c r="M965" s="115"/>
      <c r="N965" s="115"/>
      <c r="O965" s="290"/>
      <c r="P965" s="316"/>
      <c r="Q965" s="290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</row>
    <row r="966">
      <c r="A966" s="115"/>
      <c r="B966" s="265"/>
      <c r="C966" s="115"/>
      <c r="D966" s="115"/>
      <c r="E966" s="115"/>
      <c r="F966" s="115"/>
      <c r="G966" s="115"/>
      <c r="H966" s="115"/>
      <c r="I966" s="115"/>
      <c r="J966" s="115"/>
      <c r="K966" s="316"/>
      <c r="L966" s="265"/>
      <c r="M966" s="115"/>
      <c r="N966" s="115"/>
      <c r="O966" s="290"/>
      <c r="P966" s="316"/>
      <c r="Q966" s="290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</row>
    <row r="967">
      <c r="A967" s="115"/>
      <c r="B967" s="265"/>
      <c r="C967" s="115"/>
      <c r="D967" s="115"/>
      <c r="E967" s="115"/>
      <c r="F967" s="115"/>
      <c r="G967" s="115"/>
      <c r="H967" s="115"/>
      <c r="I967" s="115"/>
      <c r="J967" s="115"/>
      <c r="K967" s="316"/>
      <c r="L967" s="265"/>
      <c r="M967" s="115"/>
      <c r="N967" s="115"/>
      <c r="O967" s="290"/>
      <c r="P967" s="316"/>
      <c r="Q967" s="290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</row>
    <row r="968">
      <c r="A968" s="115"/>
      <c r="B968" s="265"/>
      <c r="C968" s="115"/>
      <c r="D968" s="115"/>
      <c r="E968" s="115"/>
      <c r="F968" s="115"/>
      <c r="G968" s="115"/>
      <c r="H968" s="115"/>
      <c r="I968" s="115"/>
      <c r="J968" s="115"/>
      <c r="K968" s="316"/>
      <c r="L968" s="265"/>
      <c r="M968" s="115"/>
      <c r="N968" s="115"/>
      <c r="O968" s="290"/>
      <c r="P968" s="316"/>
      <c r="Q968" s="290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</row>
    <row r="969">
      <c r="A969" s="115"/>
      <c r="B969" s="265"/>
      <c r="C969" s="115"/>
      <c r="D969" s="115"/>
      <c r="E969" s="115"/>
      <c r="F969" s="115"/>
      <c r="G969" s="115"/>
      <c r="H969" s="115"/>
      <c r="I969" s="115"/>
      <c r="J969" s="115"/>
      <c r="K969" s="316"/>
      <c r="L969" s="265"/>
      <c r="M969" s="115"/>
      <c r="N969" s="115"/>
      <c r="O969" s="290"/>
      <c r="P969" s="316"/>
      <c r="Q969" s="290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</row>
    <row r="970">
      <c r="A970" s="115"/>
      <c r="B970" s="265"/>
      <c r="C970" s="115"/>
      <c r="D970" s="115"/>
      <c r="E970" s="115"/>
      <c r="F970" s="115"/>
      <c r="G970" s="115"/>
      <c r="H970" s="115"/>
      <c r="I970" s="115"/>
      <c r="J970" s="115"/>
      <c r="K970" s="316"/>
      <c r="L970" s="265"/>
      <c r="M970" s="115"/>
      <c r="N970" s="115"/>
      <c r="O970" s="290"/>
      <c r="P970" s="316"/>
      <c r="Q970" s="290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</row>
    <row r="971">
      <c r="A971" s="115"/>
      <c r="B971" s="265"/>
      <c r="C971" s="115"/>
      <c r="D971" s="115"/>
      <c r="E971" s="115"/>
      <c r="F971" s="115"/>
      <c r="G971" s="115"/>
      <c r="H971" s="115"/>
      <c r="I971" s="115"/>
      <c r="J971" s="115"/>
      <c r="K971" s="316"/>
      <c r="L971" s="265"/>
      <c r="M971" s="115"/>
      <c r="N971" s="115"/>
      <c r="O971" s="290"/>
      <c r="P971" s="316"/>
      <c r="Q971" s="290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</row>
    <row r="972">
      <c r="A972" s="115"/>
      <c r="B972" s="265"/>
      <c r="C972" s="115"/>
      <c r="D972" s="115"/>
      <c r="E972" s="115"/>
      <c r="F972" s="115"/>
      <c r="G972" s="115"/>
      <c r="H972" s="115"/>
      <c r="I972" s="115"/>
      <c r="J972" s="115"/>
      <c r="K972" s="316"/>
      <c r="L972" s="265"/>
      <c r="M972" s="115"/>
      <c r="N972" s="115"/>
      <c r="O972" s="290"/>
      <c r="P972" s="316"/>
      <c r="Q972" s="290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</row>
    <row r="973">
      <c r="A973" s="115"/>
      <c r="B973" s="265"/>
      <c r="C973" s="115"/>
      <c r="D973" s="115"/>
      <c r="E973" s="115"/>
      <c r="F973" s="115"/>
      <c r="G973" s="115"/>
      <c r="H973" s="115"/>
      <c r="I973" s="115"/>
      <c r="J973" s="115"/>
      <c r="K973" s="316"/>
      <c r="L973" s="265"/>
      <c r="M973" s="115"/>
      <c r="N973" s="115"/>
      <c r="O973" s="290"/>
      <c r="P973" s="316"/>
      <c r="Q973" s="290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</row>
    <row r="974">
      <c r="A974" s="115"/>
      <c r="B974" s="265"/>
      <c r="C974" s="115"/>
      <c r="D974" s="115"/>
      <c r="E974" s="115"/>
      <c r="F974" s="115"/>
      <c r="G974" s="115"/>
      <c r="H974" s="115"/>
      <c r="I974" s="115"/>
      <c r="J974" s="115"/>
      <c r="K974" s="316"/>
      <c r="L974" s="265"/>
      <c r="M974" s="115"/>
      <c r="N974" s="115"/>
      <c r="O974" s="290"/>
      <c r="P974" s="316"/>
      <c r="Q974" s="290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</row>
    <row r="975">
      <c r="A975" s="115"/>
      <c r="B975" s="265"/>
      <c r="C975" s="115"/>
      <c r="D975" s="115"/>
      <c r="E975" s="115"/>
      <c r="F975" s="115"/>
      <c r="G975" s="115"/>
      <c r="H975" s="115"/>
      <c r="I975" s="115"/>
      <c r="J975" s="115"/>
      <c r="K975" s="316"/>
      <c r="L975" s="265"/>
      <c r="M975" s="115"/>
      <c r="N975" s="115"/>
      <c r="O975" s="290"/>
      <c r="P975" s="316"/>
      <c r="Q975" s="290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</row>
    <row r="976">
      <c r="A976" s="115"/>
      <c r="B976" s="265"/>
      <c r="C976" s="115"/>
      <c r="D976" s="115"/>
      <c r="E976" s="115"/>
      <c r="F976" s="115"/>
      <c r="G976" s="115"/>
      <c r="H976" s="115"/>
      <c r="I976" s="115"/>
      <c r="J976" s="115"/>
      <c r="K976" s="316"/>
      <c r="L976" s="265"/>
      <c r="M976" s="115"/>
      <c r="N976" s="115"/>
      <c r="O976" s="290"/>
      <c r="P976" s="316"/>
      <c r="Q976" s="290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</row>
    <row r="977">
      <c r="A977" s="115"/>
      <c r="B977" s="265"/>
      <c r="C977" s="115"/>
      <c r="D977" s="115"/>
      <c r="E977" s="115"/>
      <c r="F977" s="115"/>
      <c r="G977" s="115"/>
      <c r="H977" s="115"/>
      <c r="I977" s="115"/>
      <c r="J977" s="115"/>
      <c r="K977" s="316"/>
      <c r="L977" s="265"/>
      <c r="M977" s="115"/>
      <c r="N977" s="115"/>
      <c r="O977" s="290"/>
      <c r="P977" s="316"/>
      <c r="Q977" s="290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</row>
    <row r="978">
      <c r="A978" s="115"/>
      <c r="B978" s="265"/>
      <c r="C978" s="115"/>
      <c r="D978" s="115"/>
      <c r="E978" s="115"/>
      <c r="F978" s="115"/>
      <c r="G978" s="115"/>
      <c r="H978" s="115"/>
      <c r="I978" s="115"/>
      <c r="J978" s="115"/>
      <c r="K978" s="316"/>
      <c r="L978" s="265"/>
      <c r="M978" s="115"/>
      <c r="N978" s="115"/>
      <c r="O978" s="290"/>
      <c r="P978" s="316"/>
      <c r="Q978" s="290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</row>
    <row r="979">
      <c r="A979" s="115"/>
      <c r="B979" s="265"/>
      <c r="C979" s="115"/>
      <c r="D979" s="115"/>
      <c r="E979" s="115"/>
      <c r="F979" s="115"/>
      <c r="G979" s="115"/>
      <c r="H979" s="115"/>
      <c r="I979" s="115"/>
      <c r="J979" s="115"/>
      <c r="K979" s="316"/>
      <c r="L979" s="265"/>
      <c r="M979" s="115"/>
      <c r="N979" s="115"/>
      <c r="O979" s="290"/>
      <c r="P979" s="316"/>
      <c r="Q979" s="290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</row>
    <row r="980">
      <c r="A980" s="115"/>
      <c r="B980" s="265"/>
      <c r="C980" s="115"/>
      <c r="D980" s="115"/>
      <c r="E980" s="115"/>
      <c r="F980" s="115"/>
      <c r="G980" s="115"/>
      <c r="H980" s="115"/>
      <c r="I980" s="115"/>
      <c r="J980" s="115"/>
      <c r="K980" s="316"/>
      <c r="L980" s="265"/>
      <c r="M980" s="115"/>
      <c r="N980" s="115"/>
      <c r="O980" s="290"/>
      <c r="P980" s="316"/>
      <c r="Q980" s="290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</row>
    <row r="981">
      <c r="A981" s="115"/>
      <c r="B981" s="265"/>
      <c r="C981" s="115"/>
      <c r="D981" s="115"/>
      <c r="E981" s="115"/>
      <c r="F981" s="115"/>
      <c r="G981" s="115"/>
      <c r="H981" s="115"/>
      <c r="I981" s="115"/>
      <c r="J981" s="115"/>
      <c r="K981" s="316"/>
      <c r="L981" s="265"/>
      <c r="M981" s="115"/>
      <c r="N981" s="115"/>
      <c r="O981" s="290"/>
      <c r="P981" s="316"/>
      <c r="Q981" s="290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</row>
    <row r="982">
      <c r="A982" s="115"/>
      <c r="B982" s="265"/>
      <c r="C982" s="115"/>
      <c r="D982" s="115"/>
      <c r="E982" s="115"/>
      <c r="F982" s="115"/>
      <c r="G982" s="115"/>
      <c r="H982" s="115"/>
      <c r="I982" s="115"/>
      <c r="J982" s="115"/>
      <c r="K982" s="316"/>
      <c r="L982" s="265"/>
      <c r="M982" s="115"/>
      <c r="N982" s="115"/>
      <c r="O982" s="290"/>
      <c r="P982" s="316"/>
      <c r="Q982" s="290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</row>
    <row r="983">
      <c r="A983" s="115"/>
      <c r="B983" s="265"/>
      <c r="C983" s="115"/>
      <c r="D983" s="115"/>
      <c r="E983" s="115"/>
      <c r="F983" s="115"/>
      <c r="G983" s="115"/>
      <c r="H983" s="115"/>
      <c r="I983" s="115"/>
      <c r="J983" s="115"/>
      <c r="K983" s="316"/>
      <c r="L983" s="265"/>
      <c r="M983" s="115"/>
      <c r="N983" s="115"/>
      <c r="O983" s="290"/>
      <c r="P983" s="316"/>
      <c r="Q983" s="290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</row>
    <row r="984">
      <c r="A984" s="115"/>
      <c r="B984" s="265"/>
      <c r="C984" s="115"/>
      <c r="D984" s="115"/>
      <c r="E984" s="115"/>
      <c r="F984" s="115"/>
      <c r="G984" s="115"/>
      <c r="H984" s="115"/>
      <c r="I984" s="115"/>
      <c r="J984" s="115"/>
      <c r="K984" s="316"/>
      <c r="L984" s="265"/>
      <c r="M984" s="115"/>
      <c r="N984" s="115"/>
      <c r="O984" s="290"/>
      <c r="P984" s="316"/>
      <c r="Q984" s="290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</row>
    <row r="985">
      <c r="A985" s="115"/>
      <c r="B985" s="265"/>
      <c r="C985" s="115"/>
      <c r="D985" s="115"/>
      <c r="E985" s="115"/>
      <c r="F985" s="115"/>
      <c r="G985" s="115"/>
      <c r="H985" s="115"/>
      <c r="I985" s="115"/>
      <c r="J985" s="115"/>
      <c r="K985" s="316"/>
      <c r="L985" s="265"/>
      <c r="M985" s="115"/>
      <c r="N985" s="115"/>
      <c r="O985" s="290"/>
      <c r="P985" s="316"/>
      <c r="Q985" s="290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</row>
    <row r="986">
      <c r="A986" s="115"/>
      <c r="B986" s="265"/>
      <c r="C986" s="115"/>
      <c r="D986" s="115"/>
      <c r="E986" s="115"/>
      <c r="F986" s="115"/>
      <c r="G986" s="115"/>
      <c r="H986" s="115"/>
      <c r="I986" s="115"/>
      <c r="J986" s="115"/>
      <c r="K986" s="316"/>
      <c r="L986" s="265"/>
      <c r="M986" s="115"/>
      <c r="N986" s="115"/>
      <c r="O986" s="290"/>
      <c r="P986" s="316"/>
      <c r="Q986" s="290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</row>
    <row r="987">
      <c r="A987" s="115"/>
      <c r="B987" s="265"/>
      <c r="C987" s="115"/>
      <c r="D987" s="115"/>
      <c r="E987" s="115"/>
      <c r="F987" s="115"/>
      <c r="G987" s="115"/>
      <c r="H987" s="115"/>
      <c r="I987" s="115"/>
      <c r="J987" s="115"/>
      <c r="K987" s="316"/>
      <c r="L987" s="265"/>
      <c r="M987" s="115"/>
      <c r="N987" s="115"/>
      <c r="O987" s="290"/>
      <c r="P987" s="316"/>
      <c r="Q987" s="290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</row>
    <row r="988">
      <c r="A988" s="115"/>
      <c r="B988" s="265"/>
      <c r="C988" s="115"/>
      <c r="D988" s="115"/>
      <c r="E988" s="115"/>
      <c r="F988" s="115"/>
      <c r="G988" s="115"/>
      <c r="H988" s="115"/>
      <c r="I988" s="115"/>
      <c r="J988" s="115"/>
      <c r="K988" s="316"/>
      <c r="L988" s="265"/>
      <c r="M988" s="115"/>
      <c r="N988" s="115"/>
      <c r="O988" s="290"/>
      <c r="P988" s="316"/>
      <c r="Q988" s="290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</row>
    <row r="989">
      <c r="A989" s="115"/>
      <c r="B989" s="265"/>
      <c r="C989" s="115"/>
      <c r="D989" s="115"/>
      <c r="E989" s="115"/>
      <c r="F989" s="115"/>
      <c r="G989" s="115"/>
      <c r="H989" s="115"/>
      <c r="I989" s="115"/>
      <c r="J989" s="115"/>
      <c r="K989" s="316"/>
      <c r="L989" s="265"/>
      <c r="M989" s="115"/>
      <c r="N989" s="115"/>
      <c r="O989" s="290"/>
      <c r="P989" s="316"/>
      <c r="Q989" s="290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</row>
    <row r="990">
      <c r="A990" s="115"/>
      <c r="B990" s="265"/>
      <c r="C990" s="115"/>
      <c r="D990" s="115"/>
      <c r="E990" s="115"/>
      <c r="F990" s="115"/>
      <c r="G990" s="115"/>
      <c r="H990" s="115"/>
      <c r="I990" s="115"/>
      <c r="J990" s="115"/>
      <c r="K990" s="316"/>
      <c r="L990" s="265"/>
      <c r="M990" s="115"/>
      <c r="N990" s="115"/>
      <c r="O990" s="290"/>
      <c r="P990" s="316"/>
      <c r="Q990" s="290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</row>
    <row r="991">
      <c r="A991" s="115"/>
      <c r="B991" s="265"/>
      <c r="C991" s="115"/>
      <c r="D991" s="115"/>
      <c r="E991" s="115"/>
      <c r="F991" s="115"/>
      <c r="G991" s="115"/>
      <c r="H991" s="115"/>
      <c r="I991" s="115"/>
      <c r="J991" s="115"/>
      <c r="K991" s="316"/>
      <c r="L991" s="265"/>
      <c r="M991" s="115"/>
      <c r="N991" s="115"/>
      <c r="O991" s="290"/>
      <c r="P991" s="316"/>
      <c r="Q991" s="290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5"/>
      <c r="AC991" s="115"/>
    </row>
    <row r="992">
      <c r="A992" s="115"/>
      <c r="B992" s="265"/>
      <c r="C992" s="115"/>
      <c r="D992" s="115"/>
      <c r="E992" s="115"/>
      <c r="F992" s="115"/>
      <c r="G992" s="115"/>
      <c r="H992" s="115"/>
      <c r="I992" s="115"/>
      <c r="J992" s="115"/>
      <c r="K992" s="316"/>
      <c r="L992" s="265"/>
      <c r="M992" s="115"/>
      <c r="N992" s="115"/>
      <c r="O992" s="290"/>
      <c r="P992" s="316"/>
      <c r="Q992" s="290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5"/>
      <c r="AC992" s="115"/>
    </row>
    <row r="993">
      <c r="A993" s="115"/>
      <c r="B993" s="265"/>
      <c r="C993" s="115"/>
      <c r="D993" s="115"/>
      <c r="E993" s="115"/>
      <c r="F993" s="115"/>
      <c r="G993" s="115"/>
      <c r="H993" s="115"/>
      <c r="I993" s="115"/>
      <c r="J993" s="115"/>
      <c r="K993" s="316"/>
      <c r="L993" s="265"/>
      <c r="M993" s="115"/>
      <c r="N993" s="115"/>
      <c r="O993" s="290"/>
      <c r="P993" s="316"/>
      <c r="Q993" s="290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15"/>
      <c r="AC993" s="115"/>
    </row>
    <row r="994">
      <c r="A994" s="115"/>
      <c r="B994" s="265"/>
      <c r="C994" s="115"/>
      <c r="D994" s="115"/>
      <c r="E994" s="115"/>
      <c r="F994" s="115"/>
      <c r="G994" s="115"/>
      <c r="H994" s="115"/>
      <c r="I994" s="115"/>
      <c r="J994" s="115"/>
      <c r="K994" s="316"/>
      <c r="L994" s="265"/>
      <c r="M994" s="115"/>
      <c r="N994" s="115"/>
      <c r="O994" s="290"/>
      <c r="P994" s="316"/>
      <c r="Q994" s="290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15"/>
      <c r="AC994" s="115"/>
    </row>
    <row r="995">
      <c r="A995" s="115"/>
      <c r="B995" s="265"/>
      <c r="C995" s="115"/>
      <c r="D995" s="115"/>
      <c r="E995" s="115"/>
      <c r="F995" s="115"/>
      <c r="G995" s="115"/>
      <c r="H995" s="115"/>
      <c r="I995" s="115"/>
      <c r="J995" s="115"/>
      <c r="K995" s="316"/>
      <c r="L995" s="265"/>
      <c r="M995" s="115"/>
      <c r="N995" s="115"/>
      <c r="O995" s="290"/>
      <c r="P995" s="316"/>
      <c r="Q995" s="290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5"/>
      <c r="AC995" s="115"/>
    </row>
    <row r="996">
      <c r="A996" s="115"/>
      <c r="B996" s="265"/>
      <c r="C996" s="115"/>
      <c r="D996" s="115"/>
      <c r="E996" s="115"/>
      <c r="F996" s="115"/>
      <c r="G996" s="115"/>
      <c r="H996" s="115"/>
      <c r="I996" s="115"/>
      <c r="J996" s="115"/>
      <c r="K996" s="316"/>
      <c r="L996" s="265"/>
      <c r="M996" s="115"/>
      <c r="N996" s="115"/>
      <c r="O996" s="290"/>
      <c r="P996" s="316"/>
      <c r="Q996" s="290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15"/>
      <c r="AC996" s="115"/>
    </row>
    <row r="997">
      <c r="A997" s="115"/>
      <c r="B997" s="265"/>
      <c r="C997" s="115"/>
      <c r="D997" s="115"/>
      <c r="E997" s="115"/>
      <c r="F997" s="115"/>
      <c r="G997" s="115"/>
      <c r="H997" s="115"/>
      <c r="I997" s="115"/>
      <c r="J997" s="115"/>
      <c r="K997" s="316"/>
      <c r="L997" s="265"/>
      <c r="M997" s="115"/>
      <c r="N997" s="115"/>
      <c r="O997" s="290"/>
      <c r="P997" s="316"/>
      <c r="Q997" s="290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15"/>
      <c r="AC997" s="115"/>
    </row>
    <row r="998">
      <c r="A998" s="115"/>
      <c r="B998" s="265"/>
      <c r="C998" s="115"/>
      <c r="D998" s="115"/>
      <c r="E998" s="115"/>
      <c r="F998" s="115"/>
      <c r="G998" s="115"/>
      <c r="H998" s="115"/>
      <c r="I998" s="115"/>
      <c r="J998" s="115"/>
      <c r="K998" s="316"/>
      <c r="L998" s="265"/>
      <c r="M998" s="115"/>
      <c r="N998" s="115"/>
      <c r="O998" s="290"/>
      <c r="P998" s="316"/>
      <c r="Q998" s="290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  <c r="AB998" s="115"/>
      <c r="AC998" s="115"/>
    </row>
    <row r="999">
      <c r="A999" s="115"/>
      <c r="B999" s="265"/>
      <c r="C999" s="115"/>
      <c r="D999" s="115"/>
      <c r="E999" s="115"/>
      <c r="F999" s="115"/>
      <c r="G999" s="115"/>
      <c r="H999" s="115"/>
      <c r="I999" s="115"/>
      <c r="J999" s="115"/>
      <c r="K999" s="316"/>
      <c r="L999" s="265"/>
      <c r="M999" s="115"/>
      <c r="N999" s="115"/>
      <c r="O999" s="290"/>
      <c r="P999" s="316"/>
      <c r="Q999" s="290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  <c r="AB999" s="115"/>
      <c r="AC999" s="115"/>
    </row>
    <row r="1000">
      <c r="A1000" s="115"/>
      <c r="B1000" s="265"/>
      <c r="C1000" s="115"/>
      <c r="D1000" s="115"/>
      <c r="E1000" s="115"/>
      <c r="F1000" s="115"/>
      <c r="G1000" s="115"/>
      <c r="H1000" s="115"/>
      <c r="I1000" s="115"/>
      <c r="J1000" s="115"/>
      <c r="K1000" s="316"/>
      <c r="L1000" s="265"/>
      <c r="M1000" s="115"/>
      <c r="N1000" s="115"/>
      <c r="O1000" s="290"/>
      <c r="P1000" s="316"/>
      <c r="Q1000" s="290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  <c r="AB1000" s="115"/>
      <c r="AC1000" s="115"/>
    </row>
  </sheetData>
  <mergeCells count="2">
    <mergeCell ref="A1:G1"/>
    <mergeCell ref="J1:R1"/>
  </mergeCells>
  <dataValidations>
    <dataValidation type="list" allowBlank="1" sqref="F3:F43 F45:F85 F87:F127 F129:F169 F171:F211 F213:F253 F255:F295 F297:F337 F339:F379 F381:F421 F423:F463 F465:F505">
      <formula1>Inicio!$B$6:$B$25</formula1>
    </dataValidation>
    <dataValidation type="list" allowBlank="1" sqref="G3:G43 G45:G85 G87:G127 G129:G169 G171:G211 G213:G253 G255:G295 G297:G337 G339:G379 G381:G421 G423:G463 G465:G505">
      <formula1>Inicio!$D$6:$D$25</formula1>
    </dataValidation>
    <dataValidation type="list" allowBlank="1" sqref="R3:R43 R45:R85 R87:R127 R129:R169 R171:R211 R213:R253 R255:R295 R297:R337 R339:R379 R381:R421 R423:R463 R465:R505">
      <formula1>Inicio!$G$6:$G$25</formula1>
    </dataValidation>
    <dataValidation type="list" allowBlank="1" sqref="H3:H43 H45:H85 H87:H127 H129:H169 H171:H211 H213:H253 H255:H295 H297:H337 H339:H379 H381:H421 H423:H463 H465:H505">
      <formula1>Inicio!$H$6:$H$25</formula1>
    </dataValidation>
    <dataValidation type="list" allowBlank="1" sqref="B3:B43 L3:L43 B45:B85 L45:L85 B87:B127 L87:L127 B129:B169 L129:L169 B171:B211 L171:L211 B213:B253 L213:L253 B255:B295 L255:L295 B297:B337 L297:L337 B339:B379 L339:L379 B381:B421 L381:L421 B423:B463 L423:L463 B465:B505 L465:L505">
      <formula1>Tabelas!$B$13:$B$52</formula1>
    </dataValidation>
  </dataValidations>
  <drawing r:id="rId1"/>
  <tableParts count="25"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38"/>
    <col customWidth="1" min="2" max="2" width="13.63"/>
    <col customWidth="1" min="3" max="3" width="9.38"/>
    <col customWidth="1" min="4" max="4" width="14.88"/>
    <col customWidth="1" min="5" max="5" width="10.13"/>
    <col customWidth="1" min="6" max="7" width="15.5"/>
    <col customWidth="1" min="8" max="8" width="10.5"/>
    <col customWidth="1" min="9" max="9" width="10.63"/>
  </cols>
  <sheetData>
    <row r="1">
      <c r="A1" s="213" t="s">
        <v>126</v>
      </c>
      <c r="B1" s="12"/>
      <c r="C1" s="12"/>
      <c r="D1" s="12"/>
      <c r="E1" s="12"/>
      <c r="F1" s="12"/>
      <c r="G1" s="12"/>
      <c r="H1" s="12"/>
      <c r="I1" s="12"/>
      <c r="J1" s="150"/>
      <c r="K1" s="150"/>
      <c r="L1" s="150"/>
      <c r="M1" s="150"/>
    </row>
    <row r="2">
      <c r="A2" s="329" t="s">
        <v>127</v>
      </c>
      <c r="B2" s="330" t="s">
        <v>128</v>
      </c>
      <c r="C2" s="331" t="s">
        <v>129</v>
      </c>
      <c r="D2" s="330" t="s">
        <v>130</v>
      </c>
      <c r="E2" s="330" t="s">
        <v>131</v>
      </c>
      <c r="F2" s="332" t="s">
        <v>221</v>
      </c>
      <c r="G2" s="333" t="s">
        <v>132</v>
      </c>
      <c r="H2" s="334" t="s">
        <v>322</v>
      </c>
      <c r="I2" s="330" t="s">
        <v>323</v>
      </c>
      <c r="J2" s="156"/>
      <c r="K2" s="150"/>
      <c r="L2" s="150"/>
    </row>
    <row r="3">
      <c r="A3" s="335" t="s">
        <v>57</v>
      </c>
      <c r="B3" s="222" t="s">
        <v>95</v>
      </c>
      <c r="C3" s="223">
        <v>44202.0</v>
      </c>
      <c r="D3" s="224" t="s">
        <v>324</v>
      </c>
      <c r="E3" s="292">
        <v>76.0</v>
      </c>
      <c r="F3" s="226" t="s">
        <v>30</v>
      </c>
      <c r="G3" s="227" t="s">
        <v>14</v>
      </c>
      <c r="H3" s="226" t="s">
        <v>31</v>
      </c>
      <c r="I3" s="299" t="s">
        <v>16</v>
      </c>
      <c r="J3" s="165"/>
      <c r="K3" s="336"/>
      <c r="L3" s="337"/>
      <c r="M3" s="338"/>
      <c r="N3" s="177"/>
      <c r="P3" s="339"/>
    </row>
    <row r="4">
      <c r="A4" s="340" t="s">
        <v>57</v>
      </c>
      <c r="B4" s="239" t="s">
        <v>95</v>
      </c>
      <c r="C4" s="240">
        <v>44203.0</v>
      </c>
      <c r="D4" s="241" t="s">
        <v>324</v>
      </c>
      <c r="E4" s="300">
        <v>200.0</v>
      </c>
      <c r="F4" s="227" t="s">
        <v>30</v>
      </c>
      <c r="G4" s="227" t="s">
        <v>14</v>
      </c>
      <c r="H4" s="246" t="s">
        <v>31</v>
      </c>
      <c r="I4" s="341" t="s">
        <v>16</v>
      </c>
      <c r="J4" s="174"/>
      <c r="K4" s="174"/>
      <c r="L4" s="337"/>
      <c r="M4" s="338"/>
      <c r="N4" s="177"/>
    </row>
    <row r="5">
      <c r="A5" s="340" t="s">
        <v>57</v>
      </c>
      <c r="B5" s="239" t="s">
        <v>95</v>
      </c>
      <c r="C5" s="240">
        <v>44204.0</v>
      </c>
      <c r="D5" s="241" t="s">
        <v>18</v>
      </c>
      <c r="E5" s="300">
        <v>200.0</v>
      </c>
      <c r="F5" s="227" t="s">
        <v>14</v>
      </c>
      <c r="G5" s="227" t="s">
        <v>14</v>
      </c>
      <c r="H5" s="246" t="s">
        <v>16</v>
      </c>
      <c r="I5" s="341" t="s">
        <v>19</v>
      </c>
      <c r="J5" s="174"/>
      <c r="K5" s="336"/>
      <c r="L5" s="337"/>
      <c r="M5" s="338"/>
      <c r="N5" s="177"/>
    </row>
    <row r="6">
      <c r="A6" s="340" t="s">
        <v>57</v>
      </c>
      <c r="B6" s="239" t="s">
        <v>95</v>
      </c>
      <c r="C6" s="240">
        <v>44204.0</v>
      </c>
      <c r="D6" s="241" t="s">
        <v>324</v>
      </c>
      <c r="E6" s="300">
        <v>20.0</v>
      </c>
      <c r="F6" s="227" t="s">
        <v>30</v>
      </c>
      <c r="G6" s="227" t="s">
        <v>14</v>
      </c>
      <c r="H6" s="246" t="s">
        <v>31</v>
      </c>
      <c r="I6" s="341" t="s">
        <v>16</v>
      </c>
      <c r="J6" s="174"/>
      <c r="K6" s="336"/>
      <c r="L6" s="337"/>
      <c r="M6" s="338"/>
      <c r="N6" s="177"/>
    </row>
    <row r="7">
      <c r="A7" s="340" t="s">
        <v>57</v>
      </c>
      <c r="B7" s="239" t="s">
        <v>89</v>
      </c>
      <c r="C7" s="240">
        <v>44204.0</v>
      </c>
      <c r="D7" s="241" t="s">
        <v>324</v>
      </c>
      <c r="E7" s="300">
        <v>100.0</v>
      </c>
      <c r="F7" s="227" t="s">
        <v>30</v>
      </c>
      <c r="G7" s="227" t="s">
        <v>24</v>
      </c>
      <c r="H7" s="246" t="s">
        <v>31</v>
      </c>
      <c r="I7" s="341" t="s">
        <v>26</v>
      </c>
      <c r="J7" s="174"/>
      <c r="L7" s="150"/>
      <c r="M7" s="150"/>
      <c r="N7" s="177"/>
    </row>
    <row r="8">
      <c r="A8" s="340" t="s">
        <v>57</v>
      </c>
      <c r="B8" s="239" t="s">
        <v>95</v>
      </c>
      <c r="C8" s="240">
        <v>44205.0</v>
      </c>
      <c r="D8" s="241" t="s">
        <v>325</v>
      </c>
      <c r="E8" s="300">
        <v>20.0</v>
      </c>
      <c r="F8" s="227" t="s">
        <v>14</v>
      </c>
      <c r="G8" s="227" t="s">
        <v>14</v>
      </c>
      <c r="H8" s="246" t="s">
        <v>19</v>
      </c>
      <c r="I8" s="341" t="s">
        <v>16</v>
      </c>
      <c r="J8" s="174"/>
      <c r="K8" s="195"/>
      <c r="L8" s="150"/>
      <c r="M8" s="150"/>
    </row>
    <row r="9">
      <c r="A9" s="340" t="s">
        <v>57</v>
      </c>
      <c r="B9" s="239" t="s">
        <v>95</v>
      </c>
      <c r="C9" s="240">
        <v>44206.0</v>
      </c>
      <c r="D9" s="241" t="s">
        <v>325</v>
      </c>
      <c r="E9" s="300">
        <v>26.0</v>
      </c>
      <c r="F9" s="227" t="s">
        <v>14</v>
      </c>
      <c r="G9" s="227" t="s">
        <v>14</v>
      </c>
      <c r="H9" s="342" t="s">
        <v>19</v>
      </c>
      <c r="I9" s="343" t="s">
        <v>16</v>
      </c>
      <c r="J9" s="174"/>
      <c r="K9" s="186"/>
      <c r="L9" s="92"/>
      <c r="M9" s="150"/>
    </row>
    <row r="10">
      <c r="A10" s="340" t="s">
        <v>57</v>
      </c>
      <c r="B10" s="239" t="s">
        <v>95</v>
      </c>
      <c r="C10" s="240">
        <v>44207.0</v>
      </c>
      <c r="D10" s="241" t="s">
        <v>324</v>
      </c>
      <c r="E10" s="300">
        <v>600.0</v>
      </c>
      <c r="F10" s="227" t="s">
        <v>30</v>
      </c>
      <c r="G10" s="227" t="s">
        <v>14</v>
      </c>
      <c r="H10" s="342" t="s">
        <v>31</v>
      </c>
      <c r="I10" s="343" t="s">
        <v>16</v>
      </c>
      <c r="J10" s="174"/>
      <c r="K10" s="186"/>
      <c r="L10" s="92"/>
      <c r="M10" s="150"/>
    </row>
    <row r="11">
      <c r="A11" s="340" t="s">
        <v>57</v>
      </c>
      <c r="B11" s="239" t="s">
        <v>95</v>
      </c>
      <c r="C11" s="240">
        <v>44207.0</v>
      </c>
      <c r="D11" s="241" t="s">
        <v>325</v>
      </c>
      <c r="E11" s="300">
        <v>300.0</v>
      </c>
      <c r="F11" s="227" t="s">
        <v>14</v>
      </c>
      <c r="G11" s="227" t="s">
        <v>14</v>
      </c>
      <c r="H11" s="342" t="s">
        <v>19</v>
      </c>
      <c r="I11" s="343" t="s">
        <v>16</v>
      </c>
      <c r="J11" s="174"/>
      <c r="K11" s="186"/>
      <c r="L11" s="92"/>
      <c r="M11" s="150"/>
    </row>
    <row r="12">
      <c r="A12" s="340" t="s">
        <v>57</v>
      </c>
      <c r="B12" s="239" t="s">
        <v>95</v>
      </c>
      <c r="C12" s="240">
        <v>44207.0</v>
      </c>
      <c r="D12" s="241" t="s">
        <v>32</v>
      </c>
      <c r="E12" s="300">
        <v>900.56</v>
      </c>
      <c r="F12" s="227" t="s">
        <v>14</v>
      </c>
      <c r="G12" s="227" t="s">
        <v>32</v>
      </c>
      <c r="H12" s="246" t="s">
        <v>16</v>
      </c>
      <c r="I12" s="341" t="s">
        <v>34</v>
      </c>
      <c r="J12" s="174"/>
      <c r="K12" s="186"/>
      <c r="L12" s="150"/>
      <c r="M12" s="150"/>
      <c r="N12" s="177"/>
    </row>
    <row r="13">
      <c r="A13" s="340" t="s">
        <v>57</v>
      </c>
      <c r="B13" s="239" t="s">
        <v>95</v>
      </c>
      <c r="C13" s="240">
        <v>44209.0</v>
      </c>
      <c r="D13" s="241" t="s">
        <v>325</v>
      </c>
      <c r="E13" s="300">
        <v>17.45</v>
      </c>
      <c r="F13" s="227" t="s">
        <v>14</v>
      </c>
      <c r="G13" s="227" t="s">
        <v>14</v>
      </c>
      <c r="H13" s="342" t="s">
        <v>19</v>
      </c>
      <c r="I13" s="343" t="s">
        <v>16</v>
      </c>
      <c r="J13" s="174"/>
      <c r="K13" s="175"/>
      <c r="L13" s="173"/>
      <c r="M13" s="166"/>
      <c r="N13" s="344"/>
      <c r="O13" s="344"/>
    </row>
    <row r="14">
      <c r="A14" s="340" t="s">
        <v>57</v>
      </c>
      <c r="B14" s="239" t="s">
        <v>95</v>
      </c>
      <c r="C14" s="240">
        <v>44211.0</v>
      </c>
      <c r="D14" s="241" t="s">
        <v>324</v>
      </c>
      <c r="E14" s="300">
        <v>120.0</v>
      </c>
      <c r="F14" s="227" t="s">
        <v>30</v>
      </c>
      <c r="G14" s="304" t="s">
        <v>14</v>
      </c>
      <c r="H14" s="342" t="s">
        <v>31</v>
      </c>
      <c r="I14" s="343" t="s">
        <v>16</v>
      </c>
      <c r="J14" s="174"/>
      <c r="K14" s="175"/>
      <c r="L14" s="173"/>
      <c r="M14" s="166"/>
    </row>
    <row r="15">
      <c r="A15" s="340" t="s">
        <v>57</v>
      </c>
      <c r="B15" s="239" t="s">
        <v>95</v>
      </c>
      <c r="C15" s="240">
        <v>44211.0</v>
      </c>
      <c r="D15" s="241" t="s">
        <v>18</v>
      </c>
      <c r="E15" s="300">
        <v>50.0</v>
      </c>
      <c r="F15" s="227" t="s">
        <v>14</v>
      </c>
      <c r="G15" s="304" t="s">
        <v>14</v>
      </c>
      <c r="H15" s="342" t="s">
        <v>16</v>
      </c>
      <c r="I15" s="343" t="s">
        <v>19</v>
      </c>
      <c r="J15" s="174"/>
      <c r="K15" s="175"/>
      <c r="L15" s="173"/>
      <c r="M15" s="166"/>
      <c r="O15" s="165"/>
      <c r="P15" s="31"/>
    </row>
    <row r="16">
      <c r="A16" s="340" t="s">
        <v>57</v>
      </c>
      <c r="B16" s="239" t="s">
        <v>95</v>
      </c>
      <c r="C16" s="240">
        <v>44218.0</v>
      </c>
      <c r="D16" s="241" t="s">
        <v>324</v>
      </c>
      <c r="E16" s="300">
        <v>120.0</v>
      </c>
      <c r="F16" s="227" t="s">
        <v>30</v>
      </c>
      <c r="G16" s="304" t="s">
        <v>14</v>
      </c>
      <c r="H16" s="342" t="s">
        <v>31</v>
      </c>
      <c r="I16" s="343" t="s">
        <v>16</v>
      </c>
      <c r="J16" s="174"/>
      <c r="K16" s="175"/>
      <c r="L16" s="173"/>
      <c r="M16" s="166"/>
      <c r="O16" s="165"/>
      <c r="P16" s="31"/>
    </row>
    <row r="17">
      <c r="A17" s="340" t="s">
        <v>57</v>
      </c>
      <c r="B17" s="239" t="s">
        <v>95</v>
      </c>
      <c r="C17" s="240">
        <v>44221.0</v>
      </c>
      <c r="D17" s="241" t="s">
        <v>324</v>
      </c>
      <c r="E17" s="300">
        <v>112.0</v>
      </c>
      <c r="F17" s="227" t="s">
        <v>30</v>
      </c>
      <c r="G17" s="304" t="s">
        <v>14</v>
      </c>
      <c r="H17" s="342" t="s">
        <v>31</v>
      </c>
      <c r="I17" s="343" t="s">
        <v>16</v>
      </c>
      <c r="J17" s="174"/>
      <c r="K17" s="175"/>
      <c r="L17" s="173"/>
      <c r="M17" s="166"/>
      <c r="O17" s="165"/>
      <c r="P17" s="31"/>
    </row>
    <row r="18">
      <c r="A18" s="340" t="s">
        <v>57</v>
      </c>
      <c r="B18" s="239" t="s">
        <v>95</v>
      </c>
      <c r="C18" s="240">
        <v>44222.0</v>
      </c>
      <c r="D18" s="241" t="s">
        <v>326</v>
      </c>
      <c r="E18" s="300">
        <v>510.0</v>
      </c>
      <c r="F18" s="227" t="s">
        <v>24</v>
      </c>
      <c r="G18" s="304" t="s">
        <v>14</v>
      </c>
      <c r="H18" s="246" t="s">
        <v>26</v>
      </c>
      <c r="I18" s="343" t="s">
        <v>16</v>
      </c>
      <c r="J18" s="174"/>
      <c r="K18" s="175"/>
      <c r="L18" s="173"/>
      <c r="M18" s="166"/>
      <c r="O18" s="165"/>
      <c r="P18" s="180"/>
    </row>
    <row r="19">
      <c r="A19" s="340" t="s">
        <v>57</v>
      </c>
      <c r="B19" s="239" t="s">
        <v>95</v>
      </c>
      <c r="C19" s="240">
        <v>44223.0</v>
      </c>
      <c r="D19" s="241" t="s">
        <v>18</v>
      </c>
      <c r="E19" s="300">
        <v>600.0</v>
      </c>
      <c r="F19" s="227" t="s">
        <v>14</v>
      </c>
      <c r="G19" s="304" t="s">
        <v>14</v>
      </c>
      <c r="H19" s="342" t="s">
        <v>16</v>
      </c>
      <c r="I19" s="343" t="s">
        <v>19</v>
      </c>
      <c r="J19" s="174"/>
      <c r="K19" s="175"/>
      <c r="L19" s="173"/>
      <c r="M19" s="166"/>
      <c r="O19" s="165"/>
      <c r="P19" s="180"/>
    </row>
    <row r="20">
      <c r="A20" s="340" t="s">
        <v>57</v>
      </c>
      <c r="B20" s="239" t="s">
        <v>95</v>
      </c>
      <c r="C20" s="240">
        <v>44225.0</v>
      </c>
      <c r="D20" s="241" t="s">
        <v>324</v>
      </c>
      <c r="E20" s="300">
        <v>400.0</v>
      </c>
      <c r="F20" s="227" t="s">
        <v>30</v>
      </c>
      <c r="G20" s="304" t="s">
        <v>14</v>
      </c>
      <c r="H20" s="342" t="s">
        <v>31</v>
      </c>
      <c r="I20" s="343" t="s">
        <v>16</v>
      </c>
      <c r="J20" s="174"/>
      <c r="K20" s="175"/>
      <c r="L20" s="173"/>
      <c r="M20" s="166"/>
      <c r="O20" s="181"/>
    </row>
    <row r="21">
      <c r="A21" s="340" t="s">
        <v>57</v>
      </c>
      <c r="B21" s="239"/>
      <c r="C21" s="240"/>
      <c r="D21" s="241"/>
      <c r="E21" s="300"/>
      <c r="F21" s="227"/>
      <c r="G21" s="304"/>
      <c r="H21" s="342"/>
      <c r="I21" s="343"/>
      <c r="J21" s="174"/>
      <c r="K21" s="175"/>
      <c r="L21" s="173"/>
      <c r="M21" s="166"/>
    </row>
    <row r="22">
      <c r="A22" s="340" t="s">
        <v>57</v>
      </c>
      <c r="B22" s="239"/>
      <c r="C22" s="240"/>
      <c r="D22" s="241"/>
      <c r="E22" s="300"/>
      <c r="F22" s="227"/>
      <c r="G22" s="304"/>
      <c r="H22" s="342"/>
      <c r="I22" s="343"/>
      <c r="J22" s="174"/>
      <c r="K22" s="175"/>
      <c r="L22" s="173"/>
      <c r="M22" s="166"/>
    </row>
    <row r="23">
      <c r="A23" s="340" t="s">
        <v>57</v>
      </c>
      <c r="B23" s="239"/>
      <c r="C23" s="240"/>
      <c r="D23" s="241"/>
      <c r="E23" s="300"/>
      <c r="F23" s="227"/>
      <c r="G23" s="304"/>
      <c r="H23" s="342"/>
      <c r="I23" s="343"/>
      <c r="J23" s="174"/>
      <c r="K23" s="175"/>
      <c r="L23" s="173"/>
      <c r="M23" s="166"/>
    </row>
    <row r="24">
      <c r="A24" s="340" t="s">
        <v>57</v>
      </c>
      <c r="B24" s="239"/>
      <c r="C24" s="240"/>
      <c r="D24" s="241"/>
      <c r="E24" s="300"/>
      <c r="F24" s="227"/>
      <c r="G24" s="304"/>
      <c r="H24" s="342"/>
      <c r="I24" s="343"/>
      <c r="J24" s="174"/>
      <c r="K24" s="175"/>
      <c r="L24" s="173"/>
      <c r="M24" s="166"/>
    </row>
    <row r="25">
      <c r="A25" s="340" t="s">
        <v>57</v>
      </c>
      <c r="B25" s="239"/>
      <c r="C25" s="240"/>
      <c r="D25" s="241"/>
      <c r="E25" s="300"/>
      <c r="F25" s="227"/>
      <c r="G25" s="304"/>
      <c r="H25" s="342"/>
      <c r="I25" s="343"/>
      <c r="J25" s="174"/>
      <c r="K25" s="175"/>
      <c r="L25" s="173"/>
      <c r="M25" s="166"/>
    </row>
    <row r="26">
      <c r="A26" s="340" t="s">
        <v>57</v>
      </c>
      <c r="B26" s="239"/>
      <c r="C26" s="240"/>
      <c r="D26" s="241"/>
      <c r="E26" s="300"/>
      <c r="F26" s="227"/>
      <c r="G26" s="304"/>
      <c r="H26" s="342"/>
      <c r="I26" s="343"/>
      <c r="J26" s="174"/>
      <c r="K26" s="175"/>
      <c r="L26" s="173"/>
      <c r="M26" s="166"/>
    </row>
    <row r="27">
      <c r="A27" s="340" t="s">
        <v>57</v>
      </c>
      <c r="B27" s="239"/>
      <c r="C27" s="240"/>
      <c r="D27" s="241"/>
      <c r="E27" s="300"/>
      <c r="F27" s="227"/>
      <c r="G27" s="227"/>
      <c r="H27" s="304"/>
      <c r="I27" s="345"/>
      <c r="J27" s="181"/>
      <c r="K27" s="164"/>
      <c r="L27" s="164"/>
      <c r="M27" s="166"/>
    </row>
    <row r="28">
      <c r="A28" s="340" t="s">
        <v>57</v>
      </c>
      <c r="B28" s="239"/>
      <c r="C28" s="240"/>
      <c r="D28" s="241"/>
      <c r="E28" s="300"/>
      <c r="F28" s="227"/>
      <c r="G28" s="227"/>
      <c r="H28" s="304"/>
      <c r="I28" s="345"/>
      <c r="J28" s="181"/>
      <c r="K28" s="164"/>
      <c r="L28" s="164"/>
      <c r="M28" s="166"/>
    </row>
    <row r="29">
      <c r="A29" s="340" t="s">
        <v>57</v>
      </c>
      <c r="B29" s="239"/>
      <c r="C29" s="240"/>
      <c r="D29" s="241"/>
      <c r="E29" s="300"/>
      <c r="F29" s="227"/>
      <c r="G29" s="227"/>
      <c r="H29" s="304"/>
      <c r="I29" s="345"/>
      <c r="J29" s="181"/>
      <c r="K29" s="164"/>
      <c r="L29" s="164"/>
      <c r="M29" s="166"/>
    </row>
    <row r="30">
      <c r="A30" s="340" t="s">
        <v>57</v>
      </c>
      <c r="B30" s="239"/>
      <c r="C30" s="240"/>
      <c r="D30" s="241"/>
      <c r="E30" s="300"/>
      <c r="F30" s="227"/>
      <c r="G30" s="227"/>
      <c r="H30" s="304"/>
      <c r="I30" s="345"/>
      <c r="J30" s="181"/>
      <c r="K30" s="164"/>
      <c r="L30" s="164"/>
      <c r="M30" s="166"/>
    </row>
    <row r="31">
      <c r="A31" s="340" t="s">
        <v>57</v>
      </c>
      <c r="B31" s="239"/>
      <c r="C31" s="240"/>
      <c r="D31" s="241"/>
      <c r="E31" s="300"/>
      <c r="F31" s="227"/>
      <c r="G31" s="227"/>
      <c r="H31" s="304"/>
      <c r="I31" s="345"/>
      <c r="J31" s="181"/>
      <c r="K31" s="164"/>
      <c r="L31" s="164"/>
      <c r="M31" s="166"/>
    </row>
    <row r="32">
      <c r="A32" s="340" t="s">
        <v>57</v>
      </c>
      <c r="B32" s="239"/>
      <c r="C32" s="240"/>
      <c r="D32" s="241"/>
      <c r="E32" s="300"/>
      <c r="F32" s="227"/>
      <c r="G32" s="227"/>
      <c r="H32" s="304"/>
      <c r="I32" s="345"/>
      <c r="J32" s="181"/>
      <c r="K32" s="164"/>
      <c r="L32" s="164"/>
      <c r="M32" s="166"/>
    </row>
    <row r="33">
      <c r="A33" s="340" t="s">
        <v>57</v>
      </c>
      <c r="B33" s="239"/>
      <c r="C33" s="240"/>
      <c r="D33" s="241"/>
      <c r="E33" s="300"/>
      <c r="F33" s="227"/>
      <c r="G33" s="227"/>
      <c r="H33" s="304"/>
      <c r="I33" s="345"/>
      <c r="J33" s="181"/>
      <c r="K33" s="164"/>
      <c r="L33" s="164"/>
    </row>
    <row r="34">
      <c r="A34" s="340" t="s">
        <v>57</v>
      </c>
      <c r="B34" s="239"/>
      <c r="C34" s="240"/>
      <c r="D34" s="241"/>
      <c r="E34" s="300"/>
      <c r="F34" s="227"/>
      <c r="G34" s="227"/>
      <c r="H34" s="304"/>
      <c r="I34" s="345"/>
      <c r="J34" s="92"/>
      <c r="K34" s="150"/>
      <c r="L34" s="150"/>
    </row>
    <row r="35">
      <c r="A35" s="340" t="s">
        <v>57</v>
      </c>
      <c r="B35" s="239"/>
      <c r="C35" s="240"/>
      <c r="D35" s="241"/>
      <c r="E35" s="300"/>
      <c r="F35" s="227"/>
      <c r="G35" s="227"/>
      <c r="H35" s="304"/>
      <c r="I35" s="345"/>
      <c r="J35" s="92"/>
      <c r="K35" s="150"/>
      <c r="L35" s="150"/>
    </row>
    <row r="36">
      <c r="A36" s="340" t="s">
        <v>57</v>
      </c>
      <c r="B36" s="239"/>
      <c r="C36" s="240"/>
      <c r="D36" s="241"/>
      <c r="E36" s="300"/>
      <c r="F36" s="227"/>
      <c r="G36" s="227"/>
      <c r="H36" s="304"/>
      <c r="I36" s="345"/>
      <c r="J36" s="165"/>
      <c r="K36" s="92"/>
      <c r="L36" s="150"/>
    </row>
    <row r="37">
      <c r="A37" s="340" t="s">
        <v>57</v>
      </c>
      <c r="B37" s="239"/>
      <c r="C37" s="240"/>
      <c r="D37" s="241"/>
      <c r="E37" s="300"/>
      <c r="F37" s="227"/>
      <c r="G37" s="227"/>
      <c r="H37" s="304"/>
      <c r="I37" s="345"/>
      <c r="J37" s="165"/>
      <c r="K37" s="92"/>
      <c r="L37" s="150"/>
    </row>
    <row r="38">
      <c r="A38" s="340" t="s">
        <v>57</v>
      </c>
      <c r="B38" s="239"/>
      <c r="C38" s="240"/>
      <c r="D38" s="241"/>
      <c r="E38" s="300"/>
      <c r="F38" s="227"/>
      <c r="G38" s="227"/>
      <c r="H38" s="304"/>
      <c r="I38" s="345"/>
      <c r="J38" s="165"/>
      <c r="K38" s="92"/>
      <c r="L38" s="150"/>
    </row>
    <row r="39">
      <c r="A39" s="340" t="s">
        <v>57</v>
      </c>
      <c r="B39" s="239"/>
      <c r="C39" s="240"/>
      <c r="D39" s="241"/>
      <c r="E39" s="300"/>
      <c r="F39" s="227"/>
      <c r="G39" s="227"/>
      <c r="H39" s="304"/>
      <c r="I39" s="345"/>
      <c r="J39" s="181"/>
      <c r="K39" s="81"/>
      <c r="L39" s="164"/>
    </row>
    <row r="40">
      <c r="A40" s="340" t="s">
        <v>57</v>
      </c>
      <c r="B40" s="239"/>
      <c r="C40" s="240"/>
      <c r="D40" s="241"/>
      <c r="E40" s="300"/>
      <c r="F40" s="227"/>
      <c r="G40" s="227"/>
      <c r="H40" s="304"/>
      <c r="I40" s="345"/>
      <c r="J40" s="181"/>
      <c r="K40" s="81"/>
      <c r="L40" s="164"/>
    </row>
    <row r="41">
      <c r="A41" s="340" t="s">
        <v>57</v>
      </c>
      <c r="B41" s="239"/>
      <c r="C41" s="240"/>
      <c r="D41" s="241"/>
      <c r="E41" s="300"/>
      <c r="F41" s="227"/>
      <c r="G41" s="227"/>
      <c r="H41" s="304"/>
      <c r="I41" s="345"/>
      <c r="J41" s="181"/>
      <c r="K41" s="81"/>
      <c r="L41" s="164"/>
    </row>
    <row r="42">
      <c r="A42" s="340" t="s">
        <v>57</v>
      </c>
      <c r="B42" s="239"/>
      <c r="C42" s="240"/>
      <c r="D42" s="241"/>
      <c r="E42" s="300"/>
      <c r="F42" s="227"/>
      <c r="G42" s="227"/>
      <c r="H42" s="304"/>
      <c r="I42" s="345"/>
      <c r="J42" s="181"/>
      <c r="K42" s="92"/>
      <c r="L42" s="346"/>
    </row>
    <row r="43">
      <c r="A43" s="347" t="s">
        <v>57</v>
      </c>
      <c r="B43" s="239"/>
      <c r="C43" s="240"/>
      <c r="D43" s="241"/>
      <c r="E43" s="300"/>
      <c r="F43" s="227"/>
      <c r="G43" s="277"/>
      <c r="H43" s="348"/>
      <c r="I43" s="349"/>
      <c r="J43" s="181"/>
      <c r="K43" s="81"/>
      <c r="L43" s="164"/>
    </row>
    <row r="44">
      <c r="B44" s="190"/>
      <c r="C44" s="190"/>
      <c r="D44" s="190"/>
      <c r="E44" s="190"/>
      <c r="F44" s="190"/>
      <c r="G44" s="150"/>
      <c r="H44" s="164"/>
      <c r="I44" s="350"/>
      <c r="J44" s="181"/>
      <c r="K44" s="81"/>
      <c r="L44" s="164"/>
    </row>
    <row r="45">
      <c r="A45" s="351" t="s">
        <v>58</v>
      </c>
      <c r="B45" s="158" t="s">
        <v>95</v>
      </c>
      <c r="C45" s="191">
        <v>44229.0</v>
      </c>
      <c r="D45" s="192" t="s">
        <v>324</v>
      </c>
      <c r="E45" s="352">
        <v>200.0</v>
      </c>
      <c r="F45" s="162" t="s">
        <v>30</v>
      </c>
      <c r="G45" s="162" t="s">
        <v>14</v>
      </c>
      <c r="H45" s="162" t="s">
        <v>31</v>
      </c>
      <c r="I45" s="194" t="s">
        <v>16</v>
      </c>
      <c r="J45" s="181"/>
    </row>
    <row r="46">
      <c r="A46" s="353" t="s">
        <v>58</v>
      </c>
      <c r="B46" s="168" t="s">
        <v>95</v>
      </c>
      <c r="C46" s="182">
        <v>44232.0</v>
      </c>
      <c r="D46" s="183" t="s">
        <v>324</v>
      </c>
      <c r="E46" s="354">
        <v>520.0</v>
      </c>
      <c r="F46" s="171" t="s">
        <v>30</v>
      </c>
      <c r="G46" s="171" t="s">
        <v>14</v>
      </c>
      <c r="H46" s="355" t="s">
        <v>31</v>
      </c>
      <c r="I46" s="356" t="s">
        <v>16</v>
      </c>
      <c r="J46" s="181"/>
    </row>
    <row r="47">
      <c r="A47" s="353" t="s">
        <v>58</v>
      </c>
      <c r="B47" s="168" t="s">
        <v>95</v>
      </c>
      <c r="C47" s="182">
        <v>44235.0</v>
      </c>
      <c r="D47" s="183" t="s">
        <v>324</v>
      </c>
      <c r="E47" s="354">
        <v>600.0</v>
      </c>
      <c r="F47" s="171" t="s">
        <v>14</v>
      </c>
      <c r="G47" s="171" t="s">
        <v>30</v>
      </c>
      <c r="H47" s="355" t="s">
        <v>16</v>
      </c>
      <c r="I47" s="356" t="s">
        <v>31</v>
      </c>
      <c r="J47" s="181"/>
    </row>
    <row r="48">
      <c r="A48" s="353" t="s">
        <v>58</v>
      </c>
      <c r="B48" s="168" t="s">
        <v>89</v>
      </c>
      <c r="C48" s="182">
        <v>44235.0</v>
      </c>
      <c r="D48" s="183" t="s">
        <v>89</v>
      </c>
      <c r="E48" s="354">
        <v>700.0</v>
      </c>
      <c r="F48" s="171" t="s">
        <v>30</v>
      </c>
      <c r="G48" s="171" t="s">
        <v>24</v>
      </c>
      <c r="H48" s="355" t="s">
        <v>31</v>
      </c>
      <c r="I48" s="356" t="s">
        <v>26</v>
      </c>
      <c r="J48" s="181"/>
      <c r="K48" s="195"/>
      <c r="L48" s="150"/>
      <c r="M48" s="150"/>
      <c r="N48" s="173"/>
      <c r="O48" s="173"/>
    </row>
    <row r="49">
      <c r="A49" s="353" t="s">
        <v>58</v>
      </c>
      <c r="B49" s="168" t="s">
        <v>95</v>
      </c>
      <c r="C49" s="182">
        <v>44235.0</v>
      </c>
      <c r="D49" s="183" t="s">
        <v>325</v>
      </c>
      <c r="E49" s="354">
        <v>290.71</v>
      </c>
      <c r="F49" s="171" t="s">
        <v>14</v>
      </c>
      <c r="G49" s="171" t="s">
        <v>14</v>
      </c>
      <c r="H49" s="355" t="s">
        <v>19</v>
      </c>
      <c r="I49" s="356" t="s">
        <v>16</v>
      </c>
      <c r="J49" s="181"/>
      <c r="K49" s="185"/>
    </row>
    <row r="50">
      <c r="A50" s="353" t="s">
        <v>58</v>
      </c>
      <c r="B50" s="168" t="s">
        <v>95</v>
      </c>
      <c r="C50" s="182">
        <v>44235.0</v>
      </c>
      <c r="D50" s="183" t="s">
        <v>325</v>
      </c>
      <c r="E50" s="354">
        <v>100.0</v>
      </c>
      <c r="F50" s="171" t="s">
        <v>14</v>
      </c>
      <c r="G50" s="171" t="s">
        <v>14</v>
      </c>
      <c r="H50" s="355" t="s">
        <v>19</v>
      </c>
      <c r="I50" s="356" t="s">
        <v>16</v>
      </c>
      <c r="J50" s="181"/>
      <c r="K50" s="185"/>
    </row>
    <row r="51">
      <c r="A51" s="353" t="s">
        <v>58</v>
      </c>
      <c r="B51" s="168" t="s">
        <v>95</v>
      </c>
      <c r="C51" s="182">
        <v>44235.0</v>
      </c>
      <c r="D51" s="183" t="s">
        <v>325</v>
      </c>
      <c r="E51" s="354">
        <v>100.0</v>
      </c>
      <c r="F51" s="171" t="s">
        <v>14</v>
      </c>
      <c r="G51" s="171" t="s">
        <v>30</v>
      </c>
      <c r="H51" s="355" t="s">
        <v>16</v>
      </c>
      <c r="I51" s="356" t="s">
        <v>31</v>
      </c>
      <c r="J51" s="181"/>
    </row>
    <row r="52">
      <c r="A52" s="353" t="s">
        <v>58</v>
      </c>
      <c r="B52" s="168" t="s">
        <v>95</v>
      </c>
      <c r="C52" s="182">
        <v>44236.0</v>
      </c>
      <c r="D52" s="183" t="s">
        <v>324</v>
      </c>
      <c r="E52" s="354">
        <v>76.0</v>
      </c>
      <c r="F52" s="171" t="s">
        <v>30</v>
      </c>
      <c r="G52" s="171" t="s">
        <v>14</v>
      </c>
      <c r="H52" s="355" t="s">
        <v>31</v>
      </c>
      <c r="I52" s="356" t="s">
        <v>16</v>
      </c>
      <c r="J52" s="181"/>
      <c r="K52" s="81"/>
      <c r="L52" s="164"/>
    </row>
    <row r="53">
      <c r="A53" s="353" t="s">
        <v>58</v>
      </c>
      <c r="B53" s="168" t="s">
        <v>95</v>
      </c>
      <c r="C53" s="182">
        <v>44239.0</v>
      </c>
      <c r="D53" s="183" t="s">
        <v>324</v>
      </c>
      <c r="E53" s="354">
        <v>120.0</v>
      </c>
      <c r="F53" s="171" t="s">
        <v>30</v>
      </c>
      <c r="G53" s="357" t="s">
        <v>14</v>
      </c>
      <c r="H53" s="358" t="s">
        <v>31</v>
      </c>
      <c r="I53" s="359" t="s">
        <v>16</v>
      </c>
      <c r="J53" s="181"/>
      <c r="K53" s="81"/>
      <c r="L53" s="164"/>
    </row>
    <row r="54">
      <c r="A54" s="353" t="s">
        <v>58</v>
      </c>
      <c r="B54" s="168" t="s">
        <v>95</v>
      </c>
      <c r="C54" s="182">
        <v>44246.0</v>
      </c>
      <c r="D54" s="183" t="s">
        <v>324</v>
      </c>
      <c r="E54" s="354">
        <v>120.0</v>
      </c>
      <c r="F54" s="171" t="s">
        <v>30</v>
      </c>
      <c r="G54" s="357" t="s">
        <v>14</v>
      </c>
      <c r="H54" s="358" t="s">
        <v>31</v>
      </c>
      <c r="I54" s="359" t="s">
        <v>16</v>
      </c>
      <c r="J54" s="181"/>
      <c r="K54" s="81"/>
      <c r="L54" s="164"/>
    </row>
    <row r="55">
      <c r="A55" s="353" t="s">
        <v>58</v>
      </c>
      <c r="B55" s="168" t="s">
        <v>95</v>
      </c>
      <c r="C55" s="182">
        <v>44249.0</v>
      </c>
      <c r="D55" s="183" t="s">
        <v>32</v>
      </c>
      <c r="E55" s="354">
        <v>200.0</v>
      </c>
      <c r="F55" s="171" t="s">
        <v>14</v>
      </c>
      <c r="G55" s="171" t="s">
        <v>32</v>
      </c>
      <c r="H55" s="355" t="s">
        <v>16</v>
      </c>
      <c r="I55" s="356" t="s">
        <v>34</v>
      </c>
      <c r="J55" s="181"/>
      <c r="K55" s="81"/>
      <c r="L55" s="164"/>
    </row>
    <row r="56">
      <c r="A56" s="353" t="s">
        <v>58</v>
      </c>
      <c r="B56" s="168" t="s">
        <v>95</v>
      </c>
      <c r="C56" s="182">
        <v>44250.0</v>
      </c>
      <c r="D56" s="183" t="s">
        <v>324</v>
      </c>
      <c r="E56" s="354">
        <v>128.0</v>
      </c>
      <c r="F56" s="171" t="s">
        <v>30</v>
      </c>
      <c r="G56" s="357" t="s">
        <v>14</v>
      </c>
      <c r="H56" s="358" t="s">
        <v>31</v>
      </c>
      <c r="I56" s="359" t="s">
        <v>16</v>
      </c>
      <c r="J56" s="181"/>
      <c r="K56" s="81"/>
      <c r="L56" s="164"/>
    </row>
    <row r="57">
      <c r="A57" s="353" t="s">
        <v>58</v>
      </c>
      <c r="B57" s="168" t="s">
        <v>95</v>
      </c>
      <c r="C57" s="182">
        <v>44252.0</v>
      </c>
      <c r="D57" s="183" t="s">
        <v>325</v>
      </c>
      <c r="E57" s="354">
        <v>100.0</v>
      </c>
      <c r="F57" s="171" t="s">
        <v>14</v>
      </c>
      <c r="G57" s="357" t="s">
        <v>14</v>
      </c>
      <c r="H57" s="358" t="s">
        <v>19</v>
      </c>
      <c r="I57" s="359" t="s">
        <v>16</v>
      </c>
      <c r="J57" s="181"/>
      <c r="K57" s="81"/>
      <c r="L57" s="164"/>
    </row>
    <row r="58">
      <c r="A58" s="353" t="s">
        <v>58</v>
      </c>
      <c r="B58" s="168" t="s">
        <v>95</v>
      </c>
      <c r="C58" s="182">
        <v>44252.0</v>
      </c>
      <c r="D58" s="183" t="s">
        <v>95</v>
      </c>
      <c r="E58" s="354">
        <v>100.0</v>
      </c>
      <c r="F58" s="171" t="s">
        <v>14</v>
      </c>
      <c r="G58" s="171" t="s">
        <v>30</v>
      </c>
      <c r="H58" s="355" t="s">
        <v>16</v>
      </c>
      <c r="I58" s="356" t="s">
        <v>31</v>
      </c>
      <c r="J58" s="181"/>
      <c r="K58" s="81"/>
      <c r="L58" s="164"/>
    </row>
    <row r="59">
      <c r="A59" s="353" t="s">
        <v>58</v>
      </c>
      <c r="B59" s="168" t="s">
        <v>89</v>
      </c>
      <c r="C59" s="182">
        <v>44252.0</v>
      </c>
      <c r="D59" s="183" t="s">
        <v>89</v>
      </c>
      <c r="E59" s="354">
        <v>100.0</v>
      </c>
      <c r="F59" s="171" t="s">
        <v>30</v>
      </c>
      <c r="G59" s="357" t="s">
        <v>24</v>
      </c>
      <c r="H59" s="358" t="s">
        <v>31</v>
      </c>
      <c r="I59" s="359" t="s">
        <v>26</v>
      </c>
      <c r="J59" s="181"/>
      <c r="K59" s="81"/>
      <c r="L59" s="164"/>
    </row>
    <row r="60">
      <c r="A60" s="353" t="s">
        <v>58</v>
      </c>
      <c r="B60" s="168" t="s">
        <v>95</v>
      </c>
      <c r="C60" s="182">
        <v>44253.0</v>
      </c>
      <c r="D60" s="183" t="s">
        <v>324</v>
      </c>
      <c r="E60" s="354">
        <v>120.0</v>
      </c>
      <c r="F60" s="171" t="s">
        <v>30</v>
      </c>
      <c r="G60" s="357" t="s">
        <v>14</v>
      </c>
      <c r="H60" s="358" t="s">
        <v>31</v>
      </c>
      <c r="I60" s="359" t="s">
        <v>16</v>
      </c>
      <c r="J60" s="181"/>
      <c r="K60" s="81"/>
      <c r="L60" s="164"/>
    </row>
    <row r="61">
      <c r="A61" s="353" t="s">
        <v>58</v>
      </c>
      <c r="B61" s="168" t="s">
        <v>95</v>
      </c>
      <c r="C61" s="182">
        <v>44255.0</v>
      </c>
      <c r="D61" s="183" t="s">
        <v>327</v>
      </c>
      <c r="E61" s="354">
        <v>120.0</v>
      </c>
      <c r="F61" s="171" t="s">
        <v>14</v>
      </c>
      <c r="G61" s="357" t="s">
        <v>14</v>
      </c>
      <c r="H61" s="355" t="s">
        <v>16</v>
      </c>
      <c r="I61" s="356" t="s">
        <v>19</v>
      </c>
      <c r="J61" s="181"/>
      <c r="K61" s="81"/>
      <c r="L61" s="164"/>
    </row>
    <row r="62">
      <c r="A62" s="353" t="s">
        <v>58</v>
      </c>
      <c r="B62" s="168"/>
      <c r="C62" s="182"/>
      <c r="D62" s="183"/>
      <c r="E62" s="354"/>
      <c r="F62" s="171"/>
      <c r="G62" s="357"/>
      <c r="H62" s="358"/>
      <c r="I62" s="359"/>
      <c r="J62" s="181"/>
      <c r="K62" s="81"/>
      <c r="L62" s="164"/>
    </row>
    <row r="63">
      <c r="A63" s="353" t="s">
        <v>58</v>
      </c>
      <c r="B63" s="168"/>
      <c r="C63" s="182"/>
      <c r="D63" s="183"/>
      <c r="E63" s="354"/>
      <c r="F63" s="171"/>
      <c r="G63" s="357"/>
      <c r="H63" s="358"/>
      <c r="I63" s="359"/>
      <c r="J63" s="181"/>
      <c r="K63" s="81"/>
      <c r="L63" s="164"/>
    </row>
    <row r="64">
      <c r="A64" s="353" t="s">
        <v>58</v>
      </c>
      <c r="B64" s="168"/>
      <c r="C64" s="182"/>
      <c r="D64" s="183"/>
      <c r="E64" s="354"/>
      <c r="F64" s="171"/>
      <c r="G64" s="357"/>
      <c r="H64" s="358"/>
      <c r="I64" s="359"/>
      <c r="J64" s="181"/>
      <c r="K64" s="81"/>
      <c r="L64" s="164"/>
    </row>
    <row r="65">
      <c r="A65" s="353" t="s">
        <v>58</v>
      </c>
      <c r="B65" s="168"/>
      <c r="C65" s="182"/>
      <c r="D65" s="183"/>
      <c r="E65" s="354"/>
      <c r="F65" s="171"/>
      <c r="G65" s="357"/>
      <c r="H65" s="358"/>
      <c r="I65" s="359"/>
      <c r="J65" s="181"/>
      <c r="K65" s="81"/>
      <c r="L65" s="164"/>
    </row>
    <row r="66">
      <c r="A66" s="353" t="s">
        <v>58</v>
      </c>
      <c r="B66" s="168"/>
      <c r="C66" s="182"/>
      <c r="D66" s="183"/>
      <c r="E66" s="354"/>
      <c r="F66" s="171"/>
      <c r="G66" s="357"/>
      <c r="H66" s="358"/>
      <c r="I66" s="359"/>
      <c r="J66" s="181"/>
      <c r="K66" s="164"/>
      <c r="L66" s="164"/>
    </row>
    <row r="67">
      <c r="A67" s="353" t="s">
        <v>58</v>
      </c>
      <c r="B67" s="168"/>
      <c r="C67" s="182"/>
      <c r="D67" s="183"/>
      <c r="E67" s="354"/>
      <c r="F67" s="171"/>
      <c r="G67" s="357"/>
      <c r="H67" s="358"/>
      <c r="I67" s="359"/>
      <c r="J67" s="92"/>
      <c r="K67" s="150"/>
      <c r="L67" s="150"/>
      <c r="M67" s="156"/>
    </row>
    <row r="68">
      <c r="A68" s="353" t="s">
        <v>58</v>
      </c>
      <c r="B68" s="168"/>
      <c r="C68" s="182"/>
      <c r="D68" s="183"/>
      <c r="E68" s="354"/>
      <c r="F68" s="171"/>
      <c r="G68" s="357"/>
      <c r="H68" s="358"/>
      <c r="I68" s="359"/>
      <c r="J68" s="156"/>
      <c r="K68" s="156"/>
      <c r="L68" s="156"/>
      <c r="M68" s="156"/>
    </row>
    <row r="69">
      <c r="A69" s="353" t="s">
        <v>58</v>
      </c>
      <c r="B69" s="168"/>
      <c r="C69" s="182"/>
      <c r="D69" s="183"/>
      <c r="E69" s="354"/>
      <c r="F69" s="171"/>
      <c r="G69" s="171"/>
      <c r="H69" s="357"/>
      <c r="I69" s="178"/>
      <c r="J69" s="150"/>
      <c r="K69" s="150"/>
      <c r="L69" s="156"/>
      <c r="M69" s="156"/>
    </row>
    <row r="70">
      <c r="A70" s="353" t="s">
        <v>58</v>
      </c>
      <c r="B70" s="168"/>
      <c r="C70" s="182"/>
      <c r="D70" s="183"/>
      <c r="E70" s="354"/>
      <c r="F70" s="171"/>
      <c r="G70" s="171"/>
      <c r="H70" s="357"/>
      <c r="I70" s="178"/>
      <c r="J70" s="185"/>
      <c r="L70" s="165"/>
    </row>
    <row r="71">
      <c r="A71" s="353" t="s">
        <v>58</v>
      </c>
      <c r="B71" s="168"/>
      <c r="C71" s="182"/>
      <c r="D71" s="183"/>
      <c r="E71" s="354"/>
      <c r="F71" s="171"/>
      <c r="G71" s="171"/>
      <c r="H71" s="357"/>
      <c r="I71" s="178"/>
      <c r="J71" s="350"/>
      <c r="L71" s="181"/>
    </row>
    <row r="72">
      <c r="A72" s="353" t="s">
        <v>58</v>
      </c>
      <c r="B72" s="168"/>
      <c r="C72" s="182"/>
      <c r="D72" s="183"/>
      <c r="E72" s="354"/>
      <c r="F72" s="171"/>
      <c r="G72" s="171"/>
      <c r="H72" s="357"/>
      <c r="I72" s="178"/>
      <c r="J72" s="350"/>
      <c r="L72" s="181"/>
    </row>
    <row r="73">
      <c r="A73" s="353" t="s">
        <v>58</v>
      </c>
      <c r="B73" s="168"/>
      <c r="C73" s="182"/>
      <c r="D73" s="183"/>
      <c r="E73" s="354"/>
      <c r="F73" s="171"/>
      <c r="G73" s="171"/>
      <c r="H73" s="357"/>
      <c r="I73" s="178"/>
      <c r="J73" s="350"/>
      <c r="L73" s="181"/>
    </row>
    <row r="74">
      <c r="A74" s="353" t="s">
        <v>58</v>
      </c>
      <c r="B74" s="168"/>
      <c r="C74" s="182"/>
      <c r="D74" s="183"/>
      <c r="E74" s="354"/>
      <c r="F74" s="171"/>
      <c r="G74" s="171"/>
      <c r="H74" s="357"/>
      <c r="I74" s="178"/>
      <c r="J74" s="350"/>
      <c r="L74" s="181"/>
    </row>
    <row r="75">
      <c r="A75" s="353" t="s">
        <v>58</v>
      </c>
      <c r="B75" s="168"/>
      <c r="C75" s="182"/>
      <c r="D75" s="183"/>
      <c r="E75" s="354"/>
      <c r="F75" s="171"/>
      <c r="G75" s="171"/>
      <c r="H75" s="357"/>
      <c r="I75" s="178"/>
      <c r="J75" s="350"/>
      <c r="L75" s="181"/>
    </row>
    <row r="76">
      <c r="A76" s="353" t="s">
        <v>58</v>
      </c>
      <c r="B76" s="168"/>
      <c r="C76" s="182"/>
      <c r="D76" s="183"/>
      <c r="E76" s="354"/>
      <c r="F76" s="171"/>
      <c r="G76" s="171"/>
      <c r="H76" s="357"/>
      <c r="I76" s="178"/>
      <c r="J76" s="350"/>
      <c r="L76" s="181"/>
    </row>
    <row r="77">
      <c r="A77" s="353" t="s">
        <v>58</v>
      </c>
      <c r="B77" s="168"/>
      <c r="C77" s="182"/>
      <c r="D77" s="183"/>
      <c r="E77" s="354"/>
      <c r="F77" s="171"/>
      <c r="G77" s="171"/>
      <c r="H77" s="357"/>
      <c r="I77" s="178"/>
      <c r="J77" s="350"/>
      <c r="L77" s="181"/>
    </row>
    <row r="78">
      <c r="A78" s="353" t="s">
        <v>58</v>
      </c>
      <c r="B78" s="168"/>
      <c r="C78" s="182"/>
      <c r="D78" s="183"/>
      <c r="E78" s="354"/>
      <c r="F78" s="171"/>
      <c r="G78" s="171"/>
      <c r="H78" s="357"/>
      <c r="I78" s="178"/>
      <c r="J78" s="350"/>
      <c r="L78" s="181"/>
    </row>
    <row r="79">
      <c r="A79" s="353" t="s">
        <v>58</v>
      </c>
      <c r="B79" s="168"/>
      <c r="C79" s="182"/>
      <c r="D79" s="183"/>
      <c r="E79" s="354"/>
      <c r="F79" s="171"/>
      <c r="G79" s="171"/>
      <c r="H79" s="357"/>
      <c r="I79" s="178"/>
      <c r="J79" s="350"/>
      <c r="L79" s="181"/>
    </row>
    <row r="80">
      <c r="A80" s="353" t="s">
        <v>58</v>
      </c>
      <c r="B80" s="168"/>
      <c r="C80" s="182"/>
      <c r="D80" s="183"/>
      <c r="E80" s="354"/>
      <c r="F80" s="171"/>
      <c r="G80" s="171"/>
      <c r="H80" s="357"/>
      <c r="I80" s="178"/>
    </row>
    <row r="81">
      <c r="A81" s="353" t="s">
        <v>58</v>
      </c>
      <c r="B81" s="168"/>
      <c r="C81" s="182"/>
      <c r="D81" s="183"/>
      <c r="E81" s="354"/>
      <c r="F81" s="171"/>
      <c r="G81" s="171"/>
      <c r="H81" s="357"/>
      <c r="I81" s="178"/>
    </row>
    <row r="82">
      <c r="A82" s="353" t="s">
        <v>58</v>
      </c>
      <c r="B82" s="168"/>
      <c r="C82" s="182"/>
      <c r="D82" s="183"/>
      <c r="E82" s="354"/>
      <c r="F82" s="171"/>
      <c r="G82" s="171"/>
      <c r="H82" s="357"/>
      <c r="I82" s="178"/>
    </row>
    <row r="83">
      <c r="A83" s="353" t="s">
        <v>58</v>
      </c>
      <c r="B83" s="168"/>
      <c r="C83" s="182"/>
      <c r="D83" s="183"/>
      <c r="E83" s="354"/>
      <c r="F83" s="171"/>
      <c r="G83" s="171"/>
      <c r="H83" s="357"/>
      <c r="I83" s="178"/>
    </row>
    <row r="84">
      <c r="A84" s="353" t="s">
        <v>58</v>
      </c>
      <c r="B84" s="168"/>
      <c r="C84" s="182"/>
      <c r="D84" s="183"/>
      <c r="E84" s="354"/>
      <c r="F84" s="171"/>
      <c r="G84" s="171"/>
      <c r="H84" s="357"/>
      <c r="I84" s="178"/>
    </row>
    <row r="85">
      <c r="A85" s="360" t="s">
        <v>58</v>
      </c>
      <c r="B85" s="196"/>
      <c r="C85" s="197"/>
      <c r="D85" s="198"/>
      <c r="E85" s="361"/>
      <c r="F85" s="200"/>
      <c r="G85" s="200"/>
      <c r="H85" s="362"/>
      <c r="I85" s="363"/>
    </row>
    <row r="86">
      <c r="B86" s="201"/>
      <c r="C86" s="202"/>
      <c r="D86" s="203"/>
      <c r="E86" s="364"/>
      <c r="F86" s="150"/>
      <c r="G86" s="150"/>
      <c r="H86" s="164"/>
    </row>
    <row r="87">
      <c r="A87" s="351" t="s">
        <v>59</v>
      </c>
      <c r="B87" s="158" t="s">
        <v>95</v>
      </c>
      <c r="C87" s="191">
        <v>44259.0</v>
      </c>
      <c r="D87" s="192" t="s">
        <v>324</v>
      </c>
      <c r="E87" s="365">
        <v>400.0</v>
      </c>
      <c r="F87" s="162" t="s">
        <v>30</v>
      </c>
      <c r="G87" s="162" t="s">
        <v>14</v>
      </c>
      <c r="H87" s="162" t="s">
        <v>31</v>
      </c>
      <c r="I87" s="194" t="s">
        <v>16</v>
      </c>
    </row>
    <row r="88">
      <c r="A88" s="353" t="s">
        <v>59</v>
      </c>
      <c r="B88" s="168" t="s">
        <v>95</v>
      </c>
      <c r="C88" s="182">
        <v>44263.0</v>
      </c>
      <c r="D88" s="183" t="s">
        <v>325</v>
      </c>
      <c r="E88" s="366">
        <v>100.0</v>
      </c>
      <c r="F88" s="171" t="s">
        <v>14</v>
      </c>
      <c r="G88" s="171" t="s">
        <v>14</v>
      </c>
      <c r="H88" s="355" t="s">
        <v>19</v>
      </c>
      <c r="I88" s="356" t="s">
        <v>16</v>
      </c>
      <c r="K88" s="186"/>
    </row>
    <row r="89">
      <c r="A89" s="353" t="s">
        <v>59</v>
      </c>
      <c r="B89" s="168" t="s">
        <v>95</v>
      </c>
      <c r="C89" s="182">
        <v>44263.0</v>
      </c>
      <c r="D89" s="183" t="s">
        <v>324</v>
      </c>
      <c r="E89" s="366">
        <v>120.1</v>
      </c>
      <c r="F89" s="171" t="s">
        <v>30</v>
      </c>
      <c r="G89" s="171" t="s">
        <v>14</v>
      </c>
      <c r="H89" s="355" t="s">
        <v>31</v>
      </c>
      <c r="I89" s="356" t="s">
        <v>16</v>
      </c>
      <c r="K89" s="177"/>
      <c r="N89" s="165"/>
    </row>
    <row r="90">
      <c r="A90" s="353" t="s">
        <v>59</v>
      </c>
      <c r="B90" s="168" t="s">
        <v>95</v>
      </c>
      <c r="C90" s="182">
        <v>44267.0</v>
      </c>
      <c r="D90" s="183" t="s">
        <v>328</v>
      </c>
      <c r="E90" s="366">
        <v>706.0</v>
      </c>
      <c r="F90" s="171" t="s">
        <v>24</v>
      </c>
      <c r="G90" s="171" t="s">
        <v>30</v>
      </c>
      <c r="H90" s="355" t="s">
        <v>26</v>
      </c>
      <c r="I90" s="356" t="s">
        <v>31</v>
      </c>
      <c r="K90" s="195"/>
    </row>
    <row r="91">
      <c r="A91" s="353" t="s">
        <v>59</v>
      </c>
      <c r="B91" s="168" t="s">
        <v>95</v>
      </c>
      <c r="C91" s="182">
        <v>44267.0</v>
      </c>
      <c r="D91" s="183" t="s">
        <v>324</v>
      </c>
      <c r="E91" s="366">
        <v>688.81</v>
      </c>
      <c r="F91" s="171" t="s">
        <v>30</v>
      </c>
      <c r="G91" s="171" t="s">
        <v>14</v>
      </c>
      <c r="H91" s="355" t="s">
        <v>31</v>
      </c>
      <c r="I91" s="356" t="s">
        <v>16</v>
      </c>
      <c r="K91" s="186"/>
    </row>
    <row r="92">
      <c r="A92" s="353" t="s">
        <v>59</v>
      </c>
      <c r="B92" s="168" t="s">
        <v>95</v>
      </c>
      <c r="C92" s="182">
        <v>44270.0</v>
      </c>
      <c r="D92" s="183" t="s">
        <v>324</v>
      </c>
      <c r="E92" s="366">
        <v>120.0</v>
      </c>
      <c r="F92" s="171" t="s">
        <v>30</v>
      </c>
      <c r="G92" s="171" t="s">
        <v>14</v>
      </c>
      <c r="H92" s="355" t="s">
        <v>31</v>
      </c>
      <c r="I92" s="356" t="s">
        <v>16</v>
      </c>
      <c r="K92" s="186"/>
    </row>
    <row r="93">
      <c r="A93" s="353" t="s">
        <v>59</v>
      </c>
      <c r="B93" s="168" t="s">
        <v>95</v>
      </c>
      <c r="C93" s="182">
        <v>44270.0</v>
      </c>
      <c r="D93" s="183" t="s">
        <v>324</v>
      </c>
      <c r="E93" s="354">
        <v>226.0</v>
      </c>
      <c r="F93" s="171" t="s">
        <v>14</v>
      </c>
      <c r="G93" s="171" t="s">
        <v>14</v>
      </c>
      <c r="H93" s="355" t="s">
        <v>16</v>
      </c>
      <c r="I93" s="356" t="s">
        <v>19</v>
      </c>
      <c r="J93" s="150"/>
      <c r="K93" s="186"/>
    </row>
    <row r="94">
      <c r="A94" s="353" t="s">
        <v>59</v>
      </c>
      <c r="B94" s="168" t="s">
        <v>95</v>
      </c>
      <c r="C94" s="182">
        <v>44271.0</v>
      </c>
      <c r="D94" s="183" t="s">
        <v>33</v>
      </c>
      <c r="E94" s="354">
        <v>100.0</v>
      </c>
      <c r="F94" s="171" t="s">
        <v>14</v>
      </c>
      <c r="G94" s="171" t="s">
        <v>32</v>
      </c>
      <c r="H94" s="358" t="s">
        <v>16</v>
      </c>
      <c r="I94" s="356" t="s">
        <v>34</v>
      </c>
      <c r="J94" s="150"/>
      <c r="K94" s="186"/>
    </row>
    <row r="95">
      <c r="A95" s="353" t="s">
        <v>59</v>
      </c>
      <c r="B95" s="168" t="s">
        <v>95</v>
      </c>
      <c r="C95" s="182">
        <v>44274.0</v>
      </c>
      <c r="D95" s="183" t="s">
        <v>324</v>
      </c>
      <c r="E95" s="354">
        <v>120.0</v>
      </c>
      <c r="F95" s="171" t="s">
        <v>30</v>
      </c>
      <c r="G95" s="357" t="s">
        <v>14</v>
      </c>
      <c r="H95" s="358" t="s">
        <v>31</v>
      </c>
      <c r="I95" s="359" t="s">
        <v>16</v>
      </c>
      <c r="J95" s="150"/>
    </row>
    <row r="96">
      <c r="A96" s="353" t="s">
        <v>59</v>
      </c>
      <c r="B96" s="168" t="s">
        <v>95</v>
      </c>
      <c r="C96" s="182">
        <v>44279.0</v>
      </c>
      <c r="D96" s="183" t="s">
        <v>37</v>
      </c>
      <c r="E96" s="354">
        <v>500.0</v>
      </c>
      <c r="F96" s="171" t="s">
        <v>14</v>
      </c>
      <c r="G96" s="171" t="s">
        <v>37</v>
      </c>
      <c r="H96" s="355" t="s">
        <v>16</v>
      </c>
      <c r="I96" s="356" t="s">
        <v>39</v>
      </c>
      <c r="J96" s="350"/>
      <c r="K96" s="186"/>
    </row>
    <row r="97">
      <c r="A97" s="353" t="s">
        <v>59</v>
      </c>
      <c r="B97" s="168" t="s">
        <v>95</v>
      </c>
      <c r="C97" s="182">
        <v>44283.0</v>
      </c>
      <c r="D97" s="183" t="s">
        <v>329</v>
      </c>
      <c r="E97" s="354">
        <v>120.0</v>
      </c>
      <c r="F97" s="171" t="s">
        <v>14</v>
      </c>
      <c r="G97" s="171" t="s">
        <v>14</v>
      </c>
      <c r="H97" s="355" t="s">
        <v>16</v>
      </c>
      <c r="I97" s="356" t="s">
        <v>19</v>
      </c>
      <c r="J97" s="350"/>
      <c r="K97" s="186"/>
    </row>
    <row r="98">
      <c r="A98" s="353" t="s">
        <v>59</v>
      </c>
      <c r="B98" s="168" t="s">
        <v>95</v>
      </c>
      <c r="C98" s="182">
        <v>44283.0</v>
      </c>
      <c r="D98" s="183" t="s">
        <v>32</v>
      </c>
      <c r="E98" s="354">
        <v>100.0</v>
      </c>
      <c r="F98" s="171" t="s">
        <v>14</v>
      </c>
      <c r="G98" s="171" t="s">
        <v>32</v>
      </c>
      <c r="H98" s="355" t="s">
        <v>16</v>
      </c>
      <c r="I98" s="356" t="s">
        <v>34</v>
      </c>
      <c r="J98" s="350"/>
      <c r="L98" s="181"/>
    </row>
    <row r="99">
      <c r="A99" s="353" t="s">
        <v>59</v>
      </c>
      <c r="B99" s="168"/>
      <c r="C99" s="182"/>
      <c r="D99" s="183"/>
      <c r="E99" s="354"/>
      <c r="F99" s="171"/>
      <c r="G99" s="357"/>
      <c r="H99" s="358"/>
      <c r="I99" s="359"/>
      <c r="J99" s="350"/>
      <c r="L99" s="181"/>
    </row>
    <row r="100">
      <c r="A100" s="353" t="s">
        <v>59</v>
      </c>
      <c r="B100" s="168"/>
      <c r="C100" s="182"/>
      <c r="D100" s="183"/>
      <c r="E100" s="354"/>
      <c r="F100" s="171"/>
      <c r="G100" s="357"/>
      <c r="H100" s="358"/>
      <c r="I100" s="359"/>
      <c r="J100" s="350"/>
      <c r="L100" s="181"/>
    </row>
    <row r="101">
      <c r="A101" s="353" t="s">
        <v>59</v>
      </c>
      <c r="B101" s="168"/>
      <c r="C101" s="182"/>
      <c r="D101" s="183"/>
      <c r="E101" s="354"/>
      <c r="F101" s="171"/>
      <c r="G101" s="357"/>
      <c r="H101" s="358"/>
      <c r="I101" s="359"/>
      <c r="J101" s="350"/>
      <c r="L101" s="181"/>
    </row>
    <row r="102">
      <c r="A102" s="353" t="s">
        <v>59</v>
      </c>
      <c r="B102" s="168"/>
      <c r="C102" s="182"/>
      <c r="D102" s="183"/>
      <c r="E102" s="354"/>
      <c r="F102" s="171"/>
      <c r="G102" s="357"/>
      <c r="H102" s="358"/>
      <c r="I102" s="359"/>
      <c r="J102" s="350"/>
      <c r="L102" s="181"/>
    </row>
    <row r="103">
      <c r="A103" s="353" t="s">
        <v>59</v>
      </c>
      <c r="B103" s="168"/>
      <c r="C103" s="182"/>
      <c r="D103" s="183"/>
      <c r="E103" s="354"/>
      <c r="F103" s="171"/>
      <c r="G103" s="357"/>
      <c r="H103" s="358"/>
      <c r="I103" s="359"/>
      <c r="J103" s="350"/>
      <c r="L103" s="181"/>
    </row>
    <row r="104">
      <c r="A104" s="353" t="s">
        <v>59</v>
      </c>
      <c r="B104" s="168"/>
      <c r="C104" s="182"/>
      <c r="D104" s="183"/>
      <c r="E104" s="354"/>
      <c r="F104" s="171"/>
      <c r="G104" s="357"/>
      <c r="H104" s="358"/>
      <c r="I104" s="359"/>
      <c r="J104" s="350"/>
      <c r="L104" s="181"/>
    </row>
    <row r="105">
      <c r="A105" s="353" t="s">
        <v>59</v>
      </c>
      <c r="B105" s="168"/>
      <c r="C105" s="182"/>
      <c r="D105" s="183"/>
      <c r="E105" s="354"/>
      <c r="F105" s="171"/>
      <c r="G105" s="357"/>
      <c r="H105" s="358"/>
      <c r="I105" s="359"/>
      <c r="J105" s="350"/>
      <c r="L105" s="181"/>
    </row>
    <row r="106">
      <c r="A106" s="353" t="s">
        <v>59</v>
      </c>
      <c r="B106" s="168"/>
      <c r="C106" s="182"/>
      <c r="D106" s="183"/>
      <c r="E106" s="354"/>
      <c r="F106" s="171"/>
      <c r="G106" s="357"/>
      <c r="H106" s="358"/>
      <c r="I106" s="359"/>
    </row>
    <row r="107">
      <c r="A107" s="353" t="s">
        <v>59</v>
      </c>
      <c r="B107" s="168"/>
      <c r="C107" s="182"/>
      <c r="D107" s="183"/>
      <c r="E107" s="354"/>
      <c r="F107" s="171"/>
      <c r="G107" s="357"/>
      <c r="H107" s="358"/>
      <c r="I107" s="359"/>
    </row>
    <row r="108">
      <c r="A108" s="353" t="s">
        <v>59</v>
      </c>
      <c r="B108" s="168"/>
      <c r="C108" s="182"/>
      <c r="D108" s="183"/>
      <c r="E108" s="354"/>
      <c r="F108" s="171"/>
      <c r="G108" s="357"/>
      <c r="H108" s="358"/>
      <c r="I108" s="359"/>
    </row>
    <row r="109">
      <c r="A109" s="353" t="s">
        <v>59</v>
      </c>
      <c r="B109" s="168"/>
      <c r="C109" s="182"/>
      <c r="D109" s="183"/>
      <c r="E109" s="354"/>
      <c r="F109" s="171"/>
      <c r="G109" s="357"/>
      <c r="H109" s="358"/>
      <c r="I109" s="359"/>
    </row>
    <row r="110">
      <c r="A110" s="353" t="s">
        <v>59</v>
      </c>
      <c r="B110" s="168"/>
      <c r="C110" s="182"/>
      <c r="D110" s="183"/>
      <c r="E110" s="354"/>
      <c r="F110" s="171"/>
      <c r="G110" s="357"/>
      <c r="H110" s="358"/>
      <c r="I110" s="359"/>
    </row>
    <row r="111">
      <c r="A111" s="353" t="s">
        <v>59</v>
      </c>
      <c r="B111" s="168"/>
      <c r="C111" s="182"/>
      <c r="D111" s="183"/>
      <c r="E111" s="354"/>
      <c r="F111" s="171"/>
      <c r="G111" s="171"/>
      <c r="H111" s="357"/>
      <c r="I111" s="178"/>
    </row>
    <row r="112">
      <c r="A112" s="353" t="s">
        <v>59</v>
      </c>
      <c r="B112" s="168"/>
      <c r="C112" s="182"/>
      <c r="D112" s="183"/>
      <c r="E112" s="354"/>
      <c r="F112" s="171"/>
      <c r="G112" s="171"/>
      <c r="H112" s="357"/>
      <c r="I112" s="178"/>
    </row>
    <row r="113">
      <c r="A113" s="353" t="s">
        <v>59</v>
      </c>
      <c r="B113" s="168"/>
      <c r="C113" s="182"/>
      <c r="D113" s="183"/>
      <c r="E113" s="354"/>
      <c r="F113" s="171"/>
      <c r="G113" s="171"/>
      <c r="H113" s="357"/>
      <c r="I113" s="178"/>
    </row>
    <row r="114">
      <c r="A114" s="353" t="s">
        <v>59</v>
      </c>
      <c r="B114" s="168"/>
      <c r="C114" s="182"/>
      <c r="D114" s="183"/>
      <c r="E114" s="354"/>
      <c r="F114" s="171"/>
      <c r="G114" s="171"/>
      <c r="H114" s="357"/>
      <c r="I114" s="178"/>
    </row>
    <row r="115">
      <c r="A115" s="353" t="s">
        <v>59</v>
      </c>
      <c r="B115" s="168"/>
      <c r="C115" s="182"/>
      <c r="D115" s="183"/>
      <c r="E115" s="354"/>
      <c r="F115" s="171"/>
      <c r="G115" s="171"/>
      <c r="H115" s="357"/>
      <c r="I115" s="178"/>
    </row>
    <row r="116">
      <c r="A116" s="353" t="s">
        <v>59</v>
      </c>
      <c r="B116" s="168"/>
      <c r="C116" s="182"/>
      <c r="D116" s="183"/>
      <c r="E116" s="354"/>
      <c r="F116" s="171"/>
      <c r="G116" s="171"/>
      <c r="H116" s="357"/>
      <c r="I116" s="178"/>
    </row>
    <row r="117">
      <c r="A117" s="353" t="s">
        <v>59</v>
      </c>
      <c r="B117" s="168"/>
      <c r="C117" s="182"/>
      <c r="D117" s="183"/>
      <c r="E117" s="354"/>
      <c r="F117" s="171"/>
      <c r="G117" s="171"/>
      <c r="H117" s="357"/>
      <c r="I117" s="178"/>
    </row>
    <row r="118">
      <c r="A118" s="353" t="s">
        <v>59</v>
      </c>
      <c r="B118" s="168"/>
      <c r="C118" s="182"/>
      <c r="D118" s="183"/>
      <c r="E118" s="354"/>
      <c r="F118" s="171"/>
      <c r="G118" s="171"/>
      <c r="H118" s="357"/>
      <c r="I118" s="178"/>
    </row>
    <row r="119">
      <c r="A119" s="353" t="s">
        <v>59</v>
      </c>
      <c r="B119" s="168"/>
      <c r="C119" s="182"/>
      <c r="D119" s="183"/>
      <c r="E119" s="354"/>
      <c r="F119" s="171"/>
      <c r="G119" s="171"/>
      <c r="H119" s="357"/>
      <c r="I119" s="178"/>
    </row>
    <row r="120">
      <c r="A120" s="353" t="s">
        <v>59</v>
      </c>
      <c r="B120" s="168"/>
      <c r="C120" s="182"/>
      <c r="D120" s="183"/>
      <c r="E120" s="354"/>
      <c r="F120" s="171"/>
      <c r="G120" s="171"/>
      <c r="H120" s="357"/>
      <c r="I120" s="178"/>
    </row>
    <row r="121">
      <c r="A121" s="353" t="s">
        <v>59</v>
      </c>
      <c r="B121" s="168"/>
      <c r="C121" s="182"/>
      <c r="D121" s="183"/>
      <c r="E121" s="354"/>
      <c r="F121" s="171"/>
      <c r="G121" s="171"/>
      <c r="H121" s="357"/>
      <c r="I121" s="178"/>
    </row>
    <row r="122">
      <c r="A122" s="353" t="s">
        <v>59</v>
      </c>
      <c r="B122" s="168"/>
      <c r="C122" s="182"/>
      <c r="D122" s="183"/>
      <c r="E122" s="354"/>
      <c r="F122" s="171"/>
      <c r="G122" s="171"/>
      <c r="H122" s="357"/>
      <c r="I122" s="178"/>
    </row>
    <row r="123">
      <c r="A123" s="353" t="s">
        <v>59</v>
      </c>
      <c r="B123" s="168"/>
      <c r="C123" s="182"/>
      <c r="D123" s="183"/>
      <c r="E123" s="354"/>
      <c r="F123" s="171"/>
      <c r="G123" s="171"/>
      <c r="H123" s="357"/>
      <c r="I123" s="178"/>
    </row>
    <row r="124">
      <c r="A124" s="353" t="s">
        <v>59</v>
      </c>
      <c r="B124" s="168"/>
      <c r="C124" s="182"/>
      <c r="D124" s="183"/>
      <c r="E124" s="354"/>
      <c r="F124" s="171"/>
      <c r="G124" s="171"/>
      <c r="H124" s="357"/>
      <c r="I124" s="178"/>
    </row>
    <row r="125">
      <c r="A125" s="353" t="s">
        <v>59</v>
      </c>
      <c r="B125" s="168"/>
      <c r="C125" s="182"/>
      <c r="D125" s="183"/>
      <c r="E125" s="354"/>
      <c r="F125" s="171"/>
      <c r="G125" s="171"/>
      <c r="H125" s="357"/>
      <c r="I125" s="178"/>
    </row>
    <row r="126">
      <c r="A126" s="353" t="s">
        <v>59</v>
      </c>
      <c r="B126" s="168"/>
      <c r="C126" s="182"/>
      <c r="D126" s="183"/>
      <c r="E126" s="354"/>
      <c r="F126" s="171"/>
      <c r="G126" s="171"/>
      <c r="H126" s="357"/>
      <c r="I126" s="178"/>
    </row>
    <row r="127">
      <c r="A127" s="360" t="s">
        <v>59</v>
      </c>
      <c r="B127" s="196"/>
      <c r="C127" s="197"/>
      <c r="D127" s="198"/>
      <c r="E127" s="361"/>
      <c r="F127" s="200"/>
      <c r="G127" s="200"/>
      <c r="H127" s="362"/>
      <c r="I127" s="363"/>
    </row>
    <row r="128">
      <c r="B128" s="201"/>
      <c r="C128" s="202"/>
      <c r="D128" s="203"/>
      <c r="E128" s="364"/>
      <c r="F128" s="150"/>
      <c r="G128" s="150"/>
      <c r="H128" s="164"/>
    </row>
    <row r="129">
      <c r="A129" s="351" t="s">
        <v>60</v>
      </c>
      <c r="B129" s="158" t="s">
        <v>95</v>
      </c>
      <c r="C129" s="191">
        <v>44293.0</v>
      </c>
      <c r="D129" s="192" t="s">
        <v>326</v>
      </c>
      <c r="E129" s="352">
        <v>346.0</v>
      </c>
      <c r="F129" s="162" t="s">
        <v>24</v>
      </c>
      <c r="G129" s="162" t="s">
        <v>14</v>
      </c>
      <c r="H129" s="162" t="s">
        <v>26</v>
      </c>
      <c r="I129" s="194" t="s">
        <v>16</v>
      </c>
    </row>
    <row r="130">
      <c r="A130" s="353" t="s">
        <v>60</v>
      </c>
      <c r="B130" s="168" t="s">
        <v>95</v>
      </c>
      <c r="C130" s="182">
        <v>44294.0</v>
      </c>
      <c r="D130" s="183" t="s">
        <v>325</v>
      </c>
      <c r="E130" s="354">
        <v>364.11</v>
      </c>
      <c r="F130" s="171" t="s">
        <v>14</v>
      </c>
      <c r="G130" s="171" t="s">
        <v>14</v>
      </c>
      <c r="H130" s="355" t="s">
        <v>19</v>
      </c>
      <c r="I130" s="356" t="s">
        <v>16</v>
      </c>
    </row>
    <row r="131">
      <c r="A131" s="353" t="s">
        <v>60</v>
      </c>
      <c r="B131" s="168" t="s">
        <v>95</v>
      </c>
      <c r="C131" s="182">
        <v>44294.0</v>
      </c>
      <c r="D131" s="183" t="s">
        <v>325</v>
      </c>
      <c r="E131" s="354">
        <v>500.61</v>
      </c>
      <c r="F131" s="171" t="s">
        <v>37</v>
      </c>
      <c r="G131" s="171" t="s">
        <v>41</v>
      </c>
      <c r="H131" s="355" t="s">
        <v>39</v>
      </c>
      <c r="I131" s="356" t="s">
        <v>42</v>
      </c>
    </row>
    <row r="132">
      <c r="A132" s="353" t="s">
        <v>60</v>
      </c>
      <c r="B132" s="168" t="s">
        <v>95</v>
      </c>
      <c r="C132" s="182">
        <v>44294.0</v>
      </c>
      <c r="D132" s="183" t="s">
        <v>324</v>
      </c>
      <c r="E132" s="354">
        <v>299.52</v>
      </c>
      <c r="F132" s="171" t="s">
        <v>14</v>
      </c>
      <c r="G132" s="171" t="s">
        <v>41</v>
      </c>
      <c r="H132" s="355" t="s">
        <v>16</v>
      </c>
      <c r="I132" s="356" t="s">
        <v>42</v>
      </c>
    </row>
    <row r="133">
      <c r="A133" s="353" t="s">
        <v>60</v>
      </c>
      <c r="B133" s="168" t="s">
        <v>95</v>
      </c>
      <c r="C133" s="182">
        <v>44301.0</v>
      </c>
      <c r="D133" s="183" t="s">
        <v>324</v>
      </c>
      <c r="E133" s="354">
        <v>138.15</v>
      </c>
      <c r="F133" s="171" t="s">
        <v>30</v>
      </c>
      <c r="G133" s="171" t="s">
        <v>14</v>
      </c>
      <c r="H133" s="355" t="s">
        <v>31</v>
      </c>
      <c r="I133" s="356" t="s">
        <v>16</v>
      </c>
    </row>
    <row r="134">
      <c r="A134" s="353" t="s">
        <v>60</v>
      </c>
      <c r="B134" s="168"/>
      <c r="C134" s="182"/>
      <c r="D134" s="183"/>
      <c r="E134" s="354"/>
      <c r="F134" s="171"/>
      <c r="G134" s="171"/>
      <c r="H134" s="355"/>
      <c r="I134" s="356"/>
    </row>
    <row r="135">
      <c r="A135" s="353" t="s">
        <v>60</v>
      </c>
      <c r="B135" s="168"/>
      <c r="C135" s="182"/>
      <c r="D135" s="183"/>
      <c r="E135" s="354"/>
      <c r="F135" s="171"/>
      <c r="G135" s="357"/>
      <c r="H135" s="358"/>
      <c r="I135" s="359"/>
    </row>
    <row r="136">
      <c r="A136" s="353" t="s">
        <v>60</v>
      </c>
      <c r="B136" s="168"/>
      <c r="C136" s="182"/>
      <c r="D136" s="183"/>
      <c r="E136" s="354"/>
      <c r="F136" s="171"/>
      <c r="G136" s="357"/>
      <c r="H136" s="358"/>
      <c r="I136" s="359"/>
    </row>
    <row r="137">
      <c r="A137" s="353" t="s">
        <v>60</v>
      </c>
      <c r="B137" s="168"/>
      <c r="C137" s="182"/>
      <c r="D137" s="183"/>
      <c r="E137" s="354"/>
      <c r="F137" s="171"/>
      <c r="G137" s="357"/>
      <c r="H137" s="358"/>
      <c r="I137" s="359"/>
    </row>
    <row r="138">
      <c r="A138" s="353" t="s">
        <v>60</v>
      </c>
      <c r="B138" s="168"/>
      <c r="C138" s="182"/>
      <c r="D138" s="183"/>
      <c r="E138" s="354"/>
      <c r="F138" s="171"/>
      <c r="G138" s="357"/>
      <c r="H138" s="358"/>
      <c r="I138" s="359"/>
    </row>
    <row r="139">
      <c r="A139" s="353" t="s">
        <v>60</v>
      </c>
      <c r="B139" s="168"/>
      <c r="C139" s="182"/>
      <c r="D139" s="183"/>
      <c r="E139" s="354"/>
      <c r="F139" s="171"/>
      <c r="G139" s="357"/>
      <c r="H139" s="358"/>
      <c r="I139" s="359"/>
    </row>
    <row r="140">
      <c r="A140" s="353" t="s">
        <v>60</v>
      </c>
      <c r="B140" s="168"/>
      <c r="C140" s="182"/>
      <c r="D140" s="183"/>
      <c r="E140" s="354"/>
      <c r="F140" s="171"/>
      <c r="G140" s="357"/>
      <c r="H140" s="358"/>
      <c r="I140" s="359"/>
    </row>
    <row r="141">
      <c r="A141" s="353" t="s">
        <v>60</v>
      </c>
      <c r="B141" s="168"/>
      <c r="C141" s="182"/>
      <c r="D141" s="183"/>
      <c r="E141" s="354"/>
      <c r="F141" s="171"/>
      <c r="G141" s="357"/>
      <c r="H141" s="358"/>
      <c r="I141" s="359"/>
    </row>
    <row r="142">
      <c r="A142" s="353" t="s">
        <v>60</v>
      </c>
      <c r="B142" s="168"/>
      <c r="C142" s="182"/>
      <c r="D142" s="183"/>
      <c r="E142" s="354"/>
      <c r="F142" s="171"/>
      <c r="G142" s="357"/>
      <c r="H142" s="358"/>
      <c r="I142" s="359"/>
    </row>
    <row r="143">
      <c r="A143" s="353" t="s">
        <v>60</v>
      </c>
      <c r="B143" s="168"/>
      <c r="C143" s="182"/>
      <c r="D143" s="183"/>
      <c r="E143" s="354"/>
      <c r="F143" s="171"/>
      <c r="G143" s="357"/>
      <c r="H143" s="358"/>
      <c r="I143" s="359"/>
    </row>
    <row r="144">
      <c r="A144" s="353" t="s">
        <v>60</v>
      </c>
      <c r="B144" s="168"/>
      <c r="C144" s="182"/>
      <c r="D144" s="183"/>
      <c r="E144" s="354"/>
      <c r="F144" s="171"/>
      <c r="G144" s="357"/>
      <c r="H144" s="358"/>
      <c r="I144" s="359"/>
    </row>
    <row r="145">
      <c r="A145" s="353" t="s">
        <v>60</v>
      </c>
      <c r="B145" s="168"/>
      <c r="C145" s="182"/>
      <c r="D145" s="183"/>
      <c r="E145" s="354"/>
      <c r="F145" s="171"/>
      <c r="G145" s="357"/>
      <c r="H145" s="358"/>
      <c r="I145" s="359"/>
    </row>
    <row r="146">
      <c r="A146" s="353" t="s">
        <v>60</v>
      </c>
      <c r="B146" s="168"/>
      <c r="C146" s="182"/>
      <c r="D146" s="183"/>
      <c r="E146" s="354"/>
      <c r="F146" s="171"/>
      <c r="G146" s="357"/>
      <c r="H146" s="358"/>
      <c r="I146" s="359"/>
    </row>
    <row r="147">
      <c r="A147" s="353" t="s">
        <v>60</v>
      </c>
      <c r="B147" s="168"/>
      <c r="C147" s="182"/>
      <c r="D147" s="183"/>
      <c r="E147" s="354"/>
      <c r="F147" s="171"/>
      <c r="G147" s="357"/>
      <c r="H147" s="358"/>
      <c r="I147" s="359"/>
    </row>
    <row r="148">
      <c r="A148" s="353" t="s">
        <v>60</v>
      </c>
      <c r="B148" s="168"/>
      <c r="C148" s="182"/>
      <c r="D148" s="183"/>
      <c r="E148" s="354"/>
      <c r="F148" s="171"/>
      <c r="G148" s="357"/>
      <c r="H148" s="358"/>
      <c r="I148" s="359"/>
    </row>
    <row r="149">
      <c r="A149" s="353" t="s">
        <v>60</v>
      </c>
      <c r="B149" s="168"/>
      <c r="C149" s="182"/>
      <c r="D149" s="183"/>
      <c r="E149" s="354"/>
      <c r="F149" s="171"/>
      <c r="G149" s="357"/>
      <c r="H149" s="358"/>
      <c r="I149" s="359"/>
    </row>
    <row r="150">
      <c r="A150" s="353" t="s">
        <v>60</v>
      </c>
      <c r="B150" s="168"/>
      <c r="C150" s="182"/>
      <c r="D150" s="183"/>
      <c r="E150" s="354"/>
      <c r="F150" s="171"/>
      <c r="G150" s="357"/>
      <c r="H150" s="358"/>
      <c r="I150" s="359"/>
    </row>
    <row r="151">
      <c r="A151" s="353" t="s">
        <v>60</v>
      </c>
      <c r="B151" s="168"/>
      <c r="C151" s="182"/>
      <c r="D151" s="183"/>
      <c r="E151" s="354"/>
      <c r="F151" s="171"/>
      <c r="G151" s="357"/>
      <c r="H151" s="358"/>
      <c r="I151" s="359"/>
    </row>
    <row r="152">
      <c r="A152" s="353" t="s">
        <v>60</v>
      </c>
      <c r="B152" s="168"/>
      <c r="C152" s="182"/>
      <c r="D152" s="183"/>
      <c r="E152" s="354"/>
      <c r="F152" s="171"/>
      <c r="G152" s="357"/>
      <c r="H152" s="358"/>
      <c r="I152" s="359"/>
    </row>
    <row r="153">
      <c r="A153" s="353" t="s">
        <v>60</v>
      </c>
      <c r="B153" s="168"/>
      <c r="C153" s="182"/>
      <c r="D153" s="183"/>
      <c r="E153" s="354"/>
      <c r="F153" s="171"/>
      <c r="G153" s="171"/>
      <c r="H153" s="357"/>
      <c r="I153" s="178"/>
    </row>
    <row r="154">
      <c r="A154" s="353" t="s">
        <v>60</v>
      </c>
      <c r="B154" s="168"/>
      <c r="C154" s="182"/>
      <c r="D154" s="183"/>
      <c r="E154" s="354"/>
      <c r="F154" s="171"/>
      <c r="G154" s="171"/>
      <c r="H154" s="357"/>
      <c r="I154" s="178"/>
    </row>
    <row r="155">
      <c r="A155" s="353" t="s">
        <v>60</v>
      </c>
      <c r="B155" s="168"/>
      <c r="C155" s="182"/>
      <c r="D155" s="183"/>
      <c r="E155" s="354"/>
      <c r="F155" s="171"/>
      <c r="G155" s="171"/>
      <c r="H155" s="357"/>
      <c r="I155" s="178"/>
    </row>
    <row r="156">
      <c r="A156" s="353" t="s">
        <v>60</v>
      </c>
      <c r="B156" s="168"/>
      <c r="C156" s="182"/>
      <c r="D156" s="183"/>
      <c r="E156" s="354"/>
      <c r="F156" s="171"/>
      <c r="G156" s="171"/>
      <c r="H156" s="357"/>
      <c r="I156" s="178"/>
    </row>
    <row r="157">
      <c r="A157" s="353" t="s">
        <v>60</v>
      </c>
      <c r="B157" s="168"/>
      <c r="C157" s="182"/>
      <c r="D157" s="183"/>
      <c r="E157" s="354"/>
      <c r="F157" s="171"/>
      <c r="G157" s="171"/>
      <c r="H157" s="357"/>
      <c r="I157" s="178"/>
    </row>
    <row r="158">
      <c r="A158" s="353" t="s">
        <v>60</v>
      </c>
      <c r="B158" s="168"/>
      <c r="C158" s="182"/>
      <c r="D158" s="183"/>
      <c r="E158" s="354"/>
      <c r="F158" s="171"/>
      <c r="G158" s="171"/>
      <c r="H158" s="357"/>
      <c r="I158" s="178"/>
    </row>
    <row r="159">
      <c r="A159" s="353" t="s">
        <v>60</v>
      </c>
      <c r="B159" s="168"/>
      <c r="C159" s="182"/>
      <c r="D159" s="183"/>
      <c r="E159" s="354"/>
      <c r="F159" s="171"/>
      <c r="G159" s="171"/>
      <c r="H159" s="357"/>
      <c r="I159" s="178"/>
    </row>
    <row r="160">
      <c r="A160" s="353" t="s">
        <v>60</v>
      </c>
      <c r="B160" s="168"/>
      <c r="C160" s="182"/>
      <c r="D160" s="183"/>
      <c r="E160" s="354"/>
      <c r="F160" s="171"/>
      <c r="G160" s="171"/>
      <c r="H160" s="357"/>
      <c r="I160" s="178"/>
    </row>
    <row r="161">
      <c r="A161" s="353" t="s">
        <v>60</v>
      </c>
      <c r="B161" s="168"/>
      <c r="C161" s="182"/>
      <c r="D161" s="183"/>
      <c r="E161" s="354"/>
      <c r="F161" s="171"/>
      <c r="G161" s="171"/>
      <c r="H161" s="357"/>
      <c r="I161" s="178"/>
    </row>
    <row r="162">
      <c r="A162" s="353" t="s">
        <v>60</v>
      </c>
      <c r="B162" s="168"/>
      <c r="C162" s="182"/>
      <c r="D162" s="183"/>
      <c r="E162" s="354"/>
      <c r="F162" s="171"/>
      <c r="G162" s="171"/>
      <c r="H162" s="357"/>
      <c r="I162" s="178"/>
    </row>
    <row r="163">
      <c r="A163" s="353" t="s">
        <v>60</v>
      </c>
      <c r="B163" s="168"/>
      <c r="C163" s="182"/>
      <c r="D163" s="183"/>
      <c r="E163" s="354"/>
      <c r="F163" s="171"/>
      <c r="G163" s="171"/>
      <c r="H163" s="357"/>
      <c r="I163" s="178"/>
    </row>
    <row r="164">
      <c r="A164" s="353" t="s">
        <v>60</v>
      </c>
      <c r="B164" s="168"/>
      <c r="C164" s="182"/>
      <c r="D164" s="183"/>
      <c r="E164" s="354"/>
      <c r="F164" s="171"/>
      <c r="G164" s="171"/>
      <c r="H164" s="357"/>
      <c r="I164" s="178"/>
    </row>
    <row r="165">
      <c r="A165" s="353" t="s">
        <v>60</v>
      </c>
      <c r="B165" s="168"/>
      <c r="C165" s="182"/>
      <c r="D165" s="183"/>
      <c r="E165" s="354"/>
      <c r="F165" s="171"/>
      <c r="G165" s="171"/>
      <c r="H165" s="357"/>
      <c r="I165" s="178"/>
    </row>
    <row r="166">
      <c r="A166" s="353" t="s">
        <v>60</v>
      </c>
      <c r="B166" s="168"/>
      <c r="C166" s="182"/>
      <c r="D166" s="183"/>
      <c r="E166" s="354"/>
      <c r="F166" s="171"/>
      <c r="G166" s="171"/>
      <c r="H166" s="357"/>
      <c r="I166" s="178"/>
    </row>
    <row r="167">
      <c r="A167" s="353" t="s">
        <v>60</v>
      </c>
      <c r="B167" s="168"/>
      <c r="C167" s="182"/>
      <c r="D167" s="183"/>
      <c r="E167" s="354"/>
      <c r="F167" s="171"/>
      <c r="G167" s="171"/>
      <c r="H167" s="357"/>
      <c r="I167" s="178"/>
    </row>
    <row r="168">
      <c r="A168" s="353" t="s">
        <v>60</v>
      </c>
      <c r="B168" s="168"/>
      <c r="C168" s="182"/>
      <c r="D168" s="183"/>
      <c r="E168" s="354"/>
      <c r="F168" s="171"/>
      <c r="G168" s="171"/>
      <c r="H168" s="357"/>
      <c r="I168" s="178"/>
    </row>
    <row r="169">
      <c r="A169" s="360" t="s">
        <v>60</v>
      </c>
      <c r="B169" s="196"/>
      <c r="C169" s="197"/>
      <c r="D169" s="198"/>
      <c r="E169" s="361"/>
      <c r="F169" s="200"/>
      <c r="G169" s="200"/>
      <c r="H169" s="362"/>
      <c r="I169" s="363"/>
    </row>
    <row r="170">
      <c r="B170" s="201"/>
      <c r="C170" s="202"/>
      <c r="D170" s="203"/>
      <c r="E170" s="364"/>
      <c r="F170" s="150"/>
      <c r="G170" s="150"/>
      <c r="H170" s="164"/>
    </row>
    <row r="171">
      <c r="A171" s="351" t="s">
        <v>61</v>
      </c>
      <c r="B171" s="158" t="s">
        <v>95</v>
      </c>
      <c r="C171" s="191">
        <v>44319.0</v>
      </c>
      <c r="D171" s="192" t="s">
        <v>324</v>
      </c>
      <c r="E171" s="352">
        <v>300.0</v>
      </c>
      <c r="F171" s="162" t="s">
        <v>30</v>
      </c>
      <c r="G171" s="162" t="s">
        <v>14</v>
      </c>
      <c r="H171" s="162" t="s">
        <v>31</v>
      </c>
      <c r="I171" s="194" t="s">
        <v>16</v>
      </c>
    </row>
    <row r="172">
      <c r="A172" s="353" t="s">
        <v>61</v>
      </c>
      <c r="B172" s="168" t="s">
        <v>95</v>
      </c>
      <c r="C172" s="182">
        <v>44323.0</v>
      </c>
      <c r="D172" s="183" t="s">
        <v>330</v>
      </c>
      <c r="E172" s="354">
        <v>400.0</v>
      </c>
      <c r="F172" s="171" t="s">
        <v>30</v>
      </c>
      <c r="G172" s="171" t="s">
        <v>14</v>
      </c>
      <c r="H172" s="355" t="s">
        <v>31</v>
      </c>
      <c r="I172" s="356" t="s">
        <v>16</v>
      </c>
    </row>
    <row r="173">
      <c r="A173" s="353" t="s">
        <v>61</v>
      </c>
      <c r="B173" s="168" t="s">
        <v>95</v>
      </c>
      <c r="C173" s="182">
        <v>44343.0</v>
      </c>
      <c r="D173" s="183" t="s">
        <v>328</v>
      </c>
      <c r="E173" s="354">
        <v>70.0</v>
      </c>
      <c r="F173" s="171" t="s">
        <v>24</v>
      </c>
      <c r="G173" s="171" t="s">
        <v>30</v>
      </c>
      <c r="H173" s="355" t="s">
        <v>26</v>
      </c>
      <c r="I173" s="356" t="s">
        <v>31</v>
      </c>
    </row>
    <row r="174">
      <c r="A174" s="353" t="s">
        <v>61</v>
      </c>
      <c r="B174" s="168" t="s">
        <v>95</v>
      </c>
      <c r="C174" s="182">
        <v>44343.0</v>
      </c>
      <c r="D174" s="183" t="s">
        <v>324</v>
      </c>
      <c r="E174" s="354">
        <v>70.0</v>
      </c>
      <c r="F174" s="171" t="s">
        <v>30</v>
      </c>
      <c r="G174" s="171" t="s">
        <v>14</v>
      </c>
      <c r="H174" s="355" t="s">
        <v>31</v>
      </c>
      <c r="I174" s="356" t="s">
        <v>16</v>
      </c>
    </row>
    <row r="175">
      <c r="A175" s="353" t="s">
        <v>61</v>
      </c>
      <c r="B175" s="168" t="s">
        <v>95</v>
      </c>
      <c r="C175" s="182">
        <v>44344.0</v>
      </c>
      <c r="D175" s="183" t="s">
        <v>33</v>
      </c>
      <c r="E175" s="354">
        <v>200.0</v>
      </c>
      <c r="F175" s="171" t="s">
        <v>14</v>
      </c>
      <c r="G175" s="171" t="s">
        <v>32</v>
      </c>
      <c r="H175" s="355" t="s">
        <v>16</v>
      </c>
      <c r="I175" s="356" t="s">
        <v>34</v>
      </c>
    </row>
    <row r="176">
      <c r="A176" s="353" t="s">
        <v>61</v>
      </c>
      <c r="B176" s="168"/>
      <c r="C176" s="182"/>
      <c r="D176" s="183"/>
      <c r="E176" s="354"/>
      <c r="F176" s="171"/>
      <c r="G176" s="171"/>
      <c r="H176" s="355"/>
      <c r="I176" s="356"/>
    </row>
    <row r="177">
      <c r="A177" s="353" t="s">
        <v>61</v>
      </c>
      <c r="B177" s="168"/>
      <c r="C177" s="182"/>
      <c r="D177" s="183"/>
      <c r="E177" s="354"/>
      <c r="F177" s="171"/>
      <c r="G177" s="171"/>
      <c r="H177" s="358"/>
      <c r="I177" s="359"/>
    </row>
    <row r="178">
      <c r="A178" s="353" t="s">
        <v>61</v>
      </c>
      <c r="B178" s="168"/>
      <c r="C178" s="182"/>
      <c r="D178" s="183"/>
      <c r="E178" s="354"/>
      <c r="F178" s="171"/>
      <c r="G178" s="357"/>
      <c r="H178" s="358"/>
      <c r="I178" s="359"/>
    </row>
    <row r="179">
      <c r="A179" s="353" t="s">
        <v>61</v>
      </c>
      <c r="B179" s="168"/>
      <c r="C179" s="182"/>
      <c r="D179" s="183"/>
      <c r="E179" s="354"/>
      <c r="F179" s="171"/>
      <c r="G179" s="357"/>
      <c r="H179" s="358"/>
      <c r="I179" s="359"/>
    </row>
    <row r="180">
      <c r="A180" s="353" t="s">
        <v>61</v>
      </c>
      <c r="B180" s="168"/>
      <c r="C180" s="182"/>
      <c r="D180" s="183"/>
      <c r="E180" s="354"/>
      <c r="F180" s="171"/>
      <c r="G180" s="357"/>
      <c r="H180" s="358"/>
      <c r="I180" s="359"/>
    </row>
    <row r="181">
      <c r="A181" s="353" t="s">
        <v>61</v>
      </c>
      <c r="B181" s="168"/>
      <c r="C181" s="182"/>
      <c r="D181" s="183"/>
      <c r="E181" s="354"/>
      <c r="F181" s="171"/>
      <c r="G181" s="357"/>
      <c r="H181" s="358"/>
      <c r="I181" s="359"/>
    </row>
    <row r="182">
      <c r="A182" s="353" t="s">
        <v>61</v>
      </c>
      <c r="B182" s="168"/>
      <c r="C182" s="182"/>
      <c r="D182" s="183"/>
      <c r="E182" s="354"/>
      <c r="F182" s="171"/>
      <c r="G182" s="357"/>
      <c r="H182" s="358"/>
      <c r="I182" s="359"/>
    </row>
    <row r="183">
      <c r="A183" s="353" t="s">
        <v>61</v>
      </c>
      <c r="B183" s="168"/>
      <c r="C183" s="182"/>
      <c r="D183" s="183"/>
      <c r="E183" s="354"/>
      <c r="F183" s="171"/>
      <c r="G183" s="357"/>
      <c r="H183" s="358"/>
      <c r="I183" s="359"/>
    </row>
    <row r="184">
      <c r="A184" s="353" t="s">
        <v>61</v>
      </c>
      <c r="B184" s="168"/>
      <c r="C184" s="182"/>
      <c r="D184" s="183"/>
      <c r="E184" s="354"/>
      <c r="F184" s="171"/>
      <c r="G184" s="357"/>
      <c r="H184" s="358"/>
      <c r="I184" s="359"/>
    </row>
    <row r="185">
      <c r="A185" s="353" t="s">
        <v>61</v>
      </c>
      <c r="B185" s="168"/>
      <c r="C185" s="182"/>
      <c r="D185" s="183"/>
      <c r="E185" s="354"/>
      <c r="F185" s="171"/>
      <c r="G185" s="357"/>
      <c r="H185" s="358"/>
      <c r="I185" s="359"/>
    </row>
    <row r="186">
      <c r="A186" s="353" t="s">
        <v>61</v>
      </c>
      <c r="B186" s="168"/>
      <c r="C186" s="182"/>
      <c r="D186" s="183"/>
      <c r="E186" s="354"/>
      <c r="F186" s="171"/>
      <c r="G186" s="357"/>
      <c r="H186" s="358"/>
      <c r="I186" s="359"/>
    </row>
    <row r="187">
      <c r="A187" s="353" t="s">
        <v>61</v>
      </c>
      <c r="B187" s="168"/>
      <c r="C187" s="182"/>
      <c r="D187" s="183"/>
      <c r="E187" s="354"/>
      <c r="F187" s="171"/>
      <c r="G187" s="357"/>
      <c r="H187" s="358"/>
      <c r="I187" s="359"/>
    </row>
    <row r="188">
      <c r="A188" s="353" t="s">
        <v>61</v>
      </c>
      <c r="B188" s="168"/>
      <c r="C188" s="182"/>
      <c r="D188" s="183"/>
      <c r="E188" s="354"/>
      <c r="F188" s="171"/>
      <c r="G188" s="357"/>
      <c r="H188" s="358"/>
      <c r="I188" s="359"/>
    </row>
    <row r="189">
      <c r="A189" s="353" t="s">
        <v>61</v>
      </c>
      <c r="B189" s="168"/>
      <c r="C189" s="182"/>
      <c r="D189" s="183"/>
      <c r="E189" s="354"/>
      <c r="F189" s="171"/>
      <c r="G189" s="357"/>
      <c r="H189" s="358"/>
      <c r="I189" s="359"/>
    </row>
    <row r="190">
      <c r="A190" s="353" t="s">
        <v>61</v>
      </c>
      <c r="B190" s="168"/>
      <c r="C190" s="182"/>
      <c r="D190" s="183"/>
      <c r="E190" s="354"/>
      <c r="F190" s="171"/>
      <c r="G190" s="357"/>
      <c r="H190" s="358"/>
      <c r="I190" s="359"/>
    </row>
    <row r="191">
      <c r="A191" s="353" t="s">
        <v>61</v>
      </c>
      <c r="B191" s="168"/>
      <c r="C191" s="182"/>
      <c r="D191" s="183"/>
      <c r="E191" s="354"/>
      <c r="F191" s="171"/>
      <c r="G191" s="357"/>
      <c r="H191" s="358"/>
      <c r="I191" s="359"/>
    </row>
    <row r="192">
      <c r="A192" s="353" t="s">
        <v>61</v>
      </c>
      <c r="B192" s="168"/>
      <c r="C192" s="182"/>
      <c r="D192" s="183"/>
      <c r="E192" s="354"/>
      <c r="F192" s="171"/>
      <c r="G192" s="357"/>
      <c r="H192" s="358"/>
      <c r="I192" s="359"/>
    </row>
    <row r="193">
      <c r="A193" s="353" t="s">
        <v>61</v>
      </c>
      <c r="B193" s="168"/>
      <c r="C193" s="182"/>
      <c r="D193" s="183"/>
      <c r="E193" s="354"/>
      <c r="F193" s="171"/>
      <c r="G193" s="357"/>
      <c r="H193" s="358"/>
      <c r="I193" s="359"/>
    </row>
    <row r="194">
      <c r="A194" s="353" t="s">
        <v>61</v>
      </c>
      <c r="B194" s="168"/>
      <c r="C194" s="182"/>
      <c r="D194" s="183"/>
      <c r="E194" s="354"/>
      <c r="F194" s="171"/>
      <c r="G194" s="357"/>
      <c r="H194" s="358"/>
      <c r="I194" s="359"/>
    </row>
    <row r="195">
      <c r="A195" s="353" t="s">
        <v>61</v>
      </c>
      <c r="B195" s="168"/>
      <c r="C195" s="182"/>
      <c r="D195" s="183"/>
      <c r="E195" s="354"/>
      <c r="F195" s="171"/>
      <c r="G195" s="171"/>
      <c r="H195" s="357"/>
      <c r="I195" s="178"/>
    </row>
    <row r="196">
      <c r="A196" s="353" t="s">
        <v>61</v>
      </c>
      <c r="B196" s="168"/>
      <c r="C196" s="182"/>
      <c r="D196" s="183"/>
      <c r="E196" s="354"/>
      <c r="F196" s="171"/>
      <c r="G196" s="171"/>
      <c r="H196" s="357"/>
      <c r="I196" s="178"/>
    </row>
    <row r="197">
      <c r="A197" s="353" t="s">
        <v>61</v>
      </c>
      <c r="B197" s="168"/>
      <c r="C197" s="182"/>
      <c r="D197" s="183"/>
      <c r="E197" s="354"/>
      <c r="F197" s="171"/>
      <c r="G197" s="171"/>
      <c r="H197" s="357"/>
      <c r="I197" s="178"/>
    </row>
    <row r="198">
      <c r="A198" s="353" t="s">
        <v>61</v>
      </c>
      <c r="B198" s="168"/>
      <c r="C198" s="182"/>
      <c r="D198" s="183"/>
      <c r="E198" s="354"/>
      <c r="F198" s="171"/>
      <c r="G198" s="171"/>
      <c r="H198" s="357"/>
      <c r="I198" s="178"/>
    </row>
    <row r="199">
      <c r="A199" s="353" t="s">
        <v>61</v>
      </c>
      <c r="B199" s="168"/>
      <c r="C199" s="182"/>
      <c r="D199" s="183"/>
      <c r="E199" s="354"/>
      <c r="F199" s="171"/>
      <c r="G199" s="171"/>
      <c r="H199" s="357"/>
      <c r="I199" s="178"/>
    </row>
    <row r="200">
      <c r="A200" s="353" t="s">
        <v>61</v>
      </c>
      <c r="B200" s="168"/>
      <c r="C200" s="182"/>
      <c r="D200" s="183"/>
      <c r="E200" s="354"/>
      <c r="F200" s="171"/>
      <c r="G200" s="171"/>
      <c r="H200" s="357"/>
      <c r="I200" s="178"/>
    </row>
    <row r="201">
      <c r="A201" s="353" t="s">
        <v>61</v>
      </c>
      <c r="B201" s="168"/>
      <c r="C201" s="182"/>
      <c r="D201" s="183"/>
      <c r="E201" s="354"/>
      <c r="F201" s="171"/>
      <c r="G201" s="171"/>
      <c r="H201" s="357"/>
      <c r="I201" s="178"/>
    </row>
    <row r="202">
      <c r="A202" s="353" t="s">
        <v>61</v>
      </c>
      <c r="B202" s="168"/>
      <c r="C202" s="182"/>
      <c r="D202" s="183"/>
      <c r="E202" s="354"/>
      <c r="F202" s="171"/>
      <c r="G202" s="171"/>
      <c r="H202" s="357"/>
      <c r="I202" s="178"/>
    </row>
    <row r="203">
      <c r="A203" s="353" t="s">
        <v>61</v>
      </c>
      <c r="B203" s="168"/>
      <c r="C203" s="182"/>
      <c r="D203" s="183"/>
      <c r="E203" s="354"/>
      <c r="F203" s="171"/>
      <c r="G203" s="171"/>
      <c r="H203" s="357"/>
      <c r="I203" s="178"/>
    </row>
    <row r="204">
      <c r="A204" s="353" t="s">
        <v>61</v>
      </c>
      <c r="B204" s="168"/>
      <c r="C204" s="182"/>
      <c r="D204" s="183"/>
      <c r="E204" s="354"/>
      <c r="F204" s="171"/>
      <c r="G204" s="171"/>
      <c r="H204" s="357"/>
      <c r="I204" s="178"/>
    </row>
    <row r="205">
      <c r="A205" s="353" t="s">
        <v>61</v>
      </c>
      <c r="B205" s="168"/>
      <c r="C205" s="182"/>
      <c r="D205" s="183"/>
      <c r="E205" s="354"/>
      <c r="F205" s="171"/>
      <c r="G205" s="171"/>
      <c r="H205" s="357"/>
      <c r="I205" s="178"/>
    </row>
    <row r="206">
      <c r="A206" s="353" t="s">
        <v>61</v>
      </c>
      <c r="B206" s="168"/>
      <c r="C206" s="182"/>
      <c r="D206" s="183"/>
      <c r="E206" s="354"/>
      <c r="F206" s="171"/>
      <c r="G206" s="171"/>
      <c r="H206" s="357"/>
      <c r="I206" s="178"/>
    </row>
    <row r="207">
      <c r="A207" s="353" t="s">
        <v>61</v>
      </c>
      <c r="B207" s="168"/>
      <c r="C207" s="182"/>
      <c r="D207" s="183"/>
      <c r="E207" s="354"/>
      <c r="F207" s="171"/>
      <c r="G207" s="171"/>
      <c r="H207" s="357"/>
      <c r="I207" s="178"/>
    </row>
    <row r="208">
      <c r="A208" s="353" t="s">
        <v>61</v>
      </c>
      <c r="B208" s="168"/>
      <c r="C208" s="182"/>
      <c r="D208" s="183"/>
      <c r="E208" s="354"/>
      <c r="F208" s="171"/>
      <c r="G208" s="171"/>
      <c r="H208" s="357"/>
      <c r="I208" s="178"/>
    </row>
    <row r="209">
      <c r="A209" s="353" t="s">
        <v>61</v>
      </c>
      <c r="B209" s="168"/>
      <c r="C209" s="182"/>
      <c r="D209" s="183"/>
      <c r="E209" s="354"/>
      <c r="F209" s="171"/>
      <c r="G209" s="171"/>
      <c r="H209" s="357"/>
      <c r="I209" s="178"/>
    </row>
    <row r="210">
      <c r="A210" s="353" t="s">
        <v>61</v>
      </c>
      <c r="B210" s="168"/>
      <c r="C210" s="182"/>
      <c r="D210" s="183"/>
      <c r="E210" s="354"/>
      <c r="F210" s="171"/>
      <c r="G210" s="171"/>
      <c r="H210" s="357"/>
      <c r="I210" s="178"/>
    </row>
    <row r="211">
      <c r="A211" s="360" t="s">
        <v>61</v>
      </c>
      <c r="B211" s="196"/>
      <c r="C211" s="197"/>
      <c r="D211" s="198"/>
      <c r="E211" s="361"/>
      <c r="F211" s="200"/>
      <c r="G211" s="200"/>
      <c r="H211" s="362"/>
      <c r="I211" s="363"/>
    </row>
    <row r="212">
      <c r="B212" s="201"/>
      <c r="C212" s="202"/>
      <c r="D212" s="203"/>
      <c r="E212" s="364"/>
      <c r="F212" s="150"/>
      <c r="G212" s="150"/>
      <c r="H212" s="164"/>
    </row>
    <row r="213">
      <c r="A213" s="351" t="s">
        <v>62</v>
      </c>
      <c r="B213" s="158" t="s">
        <v>95</v>
      </c>
      <c r="C213" s="191">
        <v>44370.0</v>
      </c>
      <c r="D213" s="192" t="s">
        <v>328</v>
      </c>
      <c r="E213" s="352">
        <v>26.0</v>
      </c>
      <c r="F213" s="162" t="s">
        <v>24</v>
      </c>
      <c r="G213" s="162" t="s">
        <v>14</v>
      </c>
      <c r="H213" s="162" t="s">
        <v>26</v>
      </c>
      <c r="I213" s="194" t="s">
        <v>16</v>
      </c>
    </row>
    <row r="214">
      <c r="A214" s="353" t="s">
        <v>62</v>
      </c>
      <c r="B214" s="168"/>
      <c r="C214" s="182"/>
      <c r="D214" s="183"/>
      <c r="E214" s="354"/>
      <c r="F214" s="171"/>
      <c r="G214" s="171"/>
      <c r="H214" s="355"/>
      <c r="I214" s="356"/>
    </row>
    <row r="215">
      <c r="A215" s="353" t="s">
        <v>62</v>
      </c>
      <c r="B215" s="168"/>
      <c r="C215" s="182"/>
      <c r="D215" s="183"/>
      <c r="E215" s="354"/>
      <c r="F215" s="171"/>
      <c r="G215" s="171"/>
      <c r="H215" s="355"/>
      <c r="I215" s="356"/>
    </row>
    <row r="216">
      <c r="A216" s="353" t="s">
        <v>62</v>
      </c>
      <c r="B216" s="168"/>
      <c r="C216" s="182"/>
      <c r="D216" s="183"/>
      <c r="E216" s="354"/>
      <c r="F216" s="171"/>
      <c r="G216" s="171"/>
      <c r="H216" s="355"/>
      <c r="I216" s="356"/>
    </row>
    <row r="217">
      <c r="A217" s="353" t="s">
        <v>62</v>
      </c>
      <c r="B217" s="168"/>
      <c r="C217" s="182"/>
      <c r="D217" s="183"/>
      <c r="E217" s="354"/>
      <c r="F217" s="171"/>
      <c r="G217" s="171"/>
      <c r="H217" s="355"/>
      <c r="I217" s="356"/>
    </row>
    <row r="218">
      <c r="A218" s="353" t="s">
        <v>62</v>
      </c>
      <c r="B218" s="168"/>
      <c r="C218" s="182"/>
      <c r="D218" s="183"/>
      <c r="E218" s="354"/>
      <c r="F218" s="171"/>
      <c r="G218" s="171"/>
      <c r="H218" s="355"/>
      <c r="I218" s="356"/>
    </row>
    <row r="219">
      <c r="A219" s="353" t="s">
        <v>62</v>
      </c>
      <c r="B219" s="168"/>
      <c r="C219" s="182"/>
      <c r="D219" s="183"/>
      <c r="E219" s="354"/>
      <c r="F219" s="171"/>
      <c r="G219" s="357"/>
      <c r="H219" s="358"/>
      <c r="I219" s="359"/>
    </row>
    <row r="220">
      <c r="A220" s="353" t="s">
        <v>62</v>
      </c>
      <c r="B220" s="168"/>
      <c r="C220" s="182"/>
      <c r="D220" s="183"/>
      <c r="E220" s="354"/>
      <c r="F220" s="171"/>
      <c r="G220" s="357"/>
      <c r="H220" s="358"/>
      <c r="I220" s="359"/>
    </row>
    <row r="221">
      <c r="A221" s="353" t="s">
        <v>62</v>
      </c>
      <c r="B221" s="168"/>
      <c r="C221" s="182"/>
      <c r="D221" s="183"/>
      <c r="E221" s="354"/>
      <c r="F221" s="171"/>
      <c r="G221" s="357"/>
      <c r="H221" s="358"/>
      <c r="I221" s="359"/>
    </row>
    <row r="222">
      <c r="A222" s="353" t="s">
        <v>62</v>
      </c>
      <c r="B222" s="168"/>
      <c r="C222" s="182"/>
      <c r="D222" s="183"/>
      <c r="E222" s="354"/>
      <c r="F222" s="171"/>
      <c r="G222" s="357"/>
      <c r="H222" s="358"/>
      <c r="I222" s="359"/>
    </row>
    <row r="223">
      <c r="A223" s="353" t="s">
        <v>62</v>
      </c>
      <c r="B223" s="168"/>
      <c r="C223" s="182"/>
      <c r="D223" s="183"/>
      <c r="E223" s="354"/>
      <c r="F223" s="171"/>
      <c r="G223" s="357"/>
      <c r="H223" s="358"/>
      <c r="I223" s="359"/>
    </row>
    <row r="224">
      <c r="A224" s="353" t="s">
        <v>62</v>
      </c>
      <c r="B224" s="168"/>
      <c r="C224" s="182"/>
      <c r="D224" s="183"/>
      <c r="E224" s="354"/>
      <c r="F224" s="171"/>
      <c r="G224" s="357"/>
      <c r="H224" s="358"/>
      <c r="I224" s="359"/>
    </row>
    <row r="225">
      <c r="A225" s="353" t="s">
        <v>62</v>
      </c>
      <c r="B225" s="168"/>
      <c r="C225" s="182"/>
      <c r="D225" s="183"/>
      <c r="E225" s="354"/>
      <c r="F225" s="171"/>
      <c r="G225" s="357"/>
      <c r="H225" s="358"/>
      <c r="I225" s="359"/>
    </row>
    <row r="226">
      <c r="A226" s="353" t="s">
        <v>62</v>
      </c>
      <c r="B226" s="168"/>
      <c r="C226" s="182"/>
      <c r="D226" s="183"/>
      <c r="E226" s="354"/>
      <c r="F226" s="171"/>
      <c r="G226" s="357"/>
      <c r="H226" s="358"/>
      <c r="I226" s="359"/>
    </row>
    <row r="227">
      <c r="A227" s="353" t="s">
        <v>62</v>
      </c>
      <c r="B227" s="168"/>
      <c r="C227" s="182"/>
      <c r="D227" s="183"/>
      <c r="E227" s="354"/>
      <c r="F227" s="171"/>
      <c r="G227" s="357"/>
      <c r="H227" s="358"/>
      <c r="I227" s="359"/>
    </row>
    <row r="228">
      <c r="A228" s="353" t="s">
        <v>62</v>
      </c>
      <c r="B228" s="168"/>
      <c r="C228" s="182"/>
      <c r="D228" s="183"/>
      <c r="E228" s="354"/>
      <c r="F228" s="171"/>
      <c r="G228" s="357"/>
      <c r="H228" s="358"/>
      <c r="I228" s="359"/>
    </row>
    <row r="229">
      <c r="A229" s="353" t="s">
        <v>62</v>
      </c>
      <c r="B229" s="168"/>
      <c r="C229" s="182"/>
      <c r="D229" s="183"/>
      <c r="E229" s="354"/>
      <c r="F229" s="171"/>
      <c r="G229" s="357"/>
      <c r="H229" s="358"/>
      <c r="I229" s="359"/>
    </row>
    <row r="230">
      <c r="A230" s="353" t="s">
        <v>62</v>
      </c>
      <c r="B230" s="168"/>
      <c r="C230" s="182"/>
      <c r="D230" s="183"/>
      <c r="E230" s="354"/>
      <c r="F230" s="171"/>
      <c r="G230" s="357"/>
      <c r="H230" s="358"/>
      <c r="I230" s="359"/>
    </row>
    <row r="231">
      <c r="A231" s="353" t="s">
        <v>62</v>
      </c>
      <c r="B231" s="168"/>
      <c r="C231" s="182"/>
      <c r="D231" s="183"/>
      <c r="E231" s="354"/>
      <c r="F231" s="171"/>
      <c r="G231" s="357"/>
      <c r="H231" s="358"/>
      <c r="I231" s="359"/>
    </row>
    <row r="232">
      <c r="A232" s="353" t="s">
        <v>62</v>
      </c>
      <c r="B232" s="168"/>
      <c r="C232" s="182"/>
      <c r="D232" s="183"/>
      <c r="E232" s="354"/>
      <c r="F232" s="171"/>
      <c r="G232" s="357"/>
      <c r="H232" s="358"/>
      <c r="I232" s="359"/>
    </row>
    <row r="233">
      <c r="A233" s="353" t="s">
        <v>62</v>
      </c>
      <c r="B233" s="168"/>
      <c r="C233" s="182"/>
      <c r="D233" s="183"/>
      <c r="E233" s="354"/>
      <c r="F233" s="171"/>
      <c r="G233" s="357"/>
      <c r="H233" s="358"/>
      <c r="I233" s="359"/>
    </row>
    <row r="234">
      <c r="A234" s="353" t="s">
        <v>62</v>
      </c>
      <c r="B234" s="168"/>
      <c r="C234" s="182"/>
      <c r="D234" s="183"/>
      <c r="E234" s="354"/>
      <c r="F234" s="171"/>
      <c r="G234" s="357"/>
      <c r="H234" s="358"/>
      <c r="I234" s="359"/>
    </row>
    <row r="235">
      <c r="A235" s="353" t="s">
        <v>62</v>
      </c>
      <c r="B235" s="168"/>
      <c r="C235" s="182"/>
      <c r="D235" s="183"/>
      <c r="E235" s="354"/>
      <c r="F235" s="171"/>
      <c r="G235" s="357"/>
      <c r="H235" s="358"/>
      <c r="I235" s="359"/>
    </row>
    <row r="236">
      <c r="A236" s="353" t="s">
        <v>62</v>
      </c>
      <c r="B236" s="168"/>
      <c r="C236" s="182"/>
      <c r="D236" s="183"/>
      <c r="E236" s="354"/>
      <c r="F236" s="171"/>
      <c r="G236" s="357"/>
      <c r="H236" s="358"/>
      <c r="I236" s="359"/>
    </row>
    <row r="237">
      <c r="A237" s="353" t="s">
        <v>62</v>
      </c>
      <c r="B237" s="168"/>
      <c r="C237" s="182"/>
      <c r="D237" s="183"/>
      <c r="E237" s="354"/>
      <c r="F237" s="171"/>
      <c r="G237" s="171"/>
      <c r="H237" s="357"/>
      <c r="I237" s="178"/>
    </row>
    <row r="238">
      <c r="A238" s="353" t="s">
        <v>62</v>
      </c>
      <c r="B238" s="168"/>
      <c r="C238" s="182"/>
      <c r="D238" s="183"/>
      <c r="E238" s="354"/>
      <c r="F238" s="171"/>
      <c r="G238" s="171"/>
      <c r="H238" s="357"/>
      <c r="I238" s="178"/>
    </row>
    <row r="239">
      <c r="A239" s="353" t="s">
        <v>62</v>
      </c>
      <c r="B239" s="168"/>
      <c r="C239" s="182"/>
      <c r="D239" s="183"/>
      <c r="E239" s="354"/>
      <c r="F239" s="171"/>
      <c r="G239" s="171"/>
      <c r="H239" s="357"/>
      <c r="I239" s="178"/>
    </row>
    <row r="240">
      <c r="A240" s="353" t="s">
        <v>62</v>
      </c>
      <c r="B240" s="168"/>
      <c r="C240" s="182"/>
      <c r="D240" s="183"/>
      <c r="E240" s="354"/>
      <c r="F240" s="171"/>
      <c r="G240" s="171"/>
      <c r="H240" s="357"/>
      <c r="I240" s="178"/>
    </row>
    <row r="241">
      <c r="A241" s="353" t="s">
        <v>62</v>
      </c>
      <c r="B241" s="168"/>
      <c r="C241" s="182"/>
      <c r="D241" s="183"/>
      <c r="E241" s="354"/>
      <c r="F241" s="171"/>
      <c r="G241" s="171"/>
      <c r="H241" s="357"/>
      <c r="I241" s="178"/>
    </row>
    <row r="242">
      <c r="A242" s="353" t="s">
        <v>62</v>
      </c>
      <c r="B242" s="168"/>
      <c r="C242" s="182"/>
      <c r="D242" s="183"/>
      <c r="E242" s="354"/>
      <c r="F242" s="171"/>
      <c r="G242" s="171"/>
      <c r="H242" s="357"/>
      <c r="I242" s="178"/>
    </row>
    <row r="243">
      <c r="A243" s="353" t="s">
        <v>62</v>
      </c>
      <c r="B243" s="168"/>
      <c r="C243" s="182"/>
      <c r="D243" s="183"/>
      <c r="E243" s="354"/>
      <c r="F243" s="171"/>
      <c r="G243" s="171"/>
      <c r="H243" s="357"/>
      <c r="I243" s="178"/>
    </row>
    <row r="244">
      <c r="A244" s="353" t="s">
        <v>62</v>
      </c>
      <c r="B244" s="168"/>
      <c r="C244" s="182"/>
      <c r="D244" s="183"/>
      <c r="E244" s="354"/>
      <c r="F244" s="171"/>
      <c r="G244" s="171"/>
      <c r="H244" s="357"/>
      <c r="I244" s="178"/>
    </row>
    <row r="245">
      <c r="A245" s="353" t="s">
        <v>62</v>
      </c>
      <c r="B245" s="168"/>
      <c r="C245" s="182"/>
      <c r="D245" s="183"/>
      <c r="E245" s="354"/>
      <c r="F245" s="171"/>
      <c r="G245" s="171"/>
      <c r="H245" s="357"/>
      <c r="I245" s="178"/>
    </row>
    <row r="246">
      <c r="A246" s="353" t="s">
        <v>62</v>
      </c>
      <c r="B246" s="168"/>
      <c r="C246" s="182"/>
      <c r="D246" s="183"/>
      <c r="E246" s="354"/>
      <c r="F246" s="171"/>
      <c r="G246" s="171"/>
      <c r="H246" s="357"/>
      <c r="I246" s="178"/>
    </row>
    <row r="247">
      <c r="A247" s="353" t="s">
        <v>62</v>
      </c>
      <c r="B247" s="168"/>
      <c r="C247" s="182"/>
      <c r="D247" s="183"/>
      <c r="E247" s="354"/>
      <c r="F247" s="171"/>
      <c r="G247" s="171"/>
      <c r="H247" s="357"/>
      <c r="I247" s="178"/>
    </row>
    <row r="248">
      <c r="A248" s="353" t="s">
        <v>62</v>
      </c>
      <c r="B248" s="168"/>
      <c r="C248" s="182"/>
      <c r="D248" s="183"/>
      <c r="E248" s="354"/>
      <c r="F248" s="171"/>
      <c r="G248" s="171"/>
      <c r="H248" s="357"/>
      <c r="I248" s="178"/>
    </row>
    <row r="249">
      <c r="A249" s="353" t="s">
        <v>62</v>
      </c>
      <c r="B249" s="168"/>
      <c r="C249" s="182"/>
      <c r="D249" s="183"/>
      <c r="E249" s="354"/>
      <c r="F249" s="171"/>
      <c r="G249" s="171"/>
      <c r="H249" s="357"/>
      <c r="I249" s="178"/>
    </row>
    <row r="250">
      <c r="A250" s="353" t="s">
        <v>62</v>
      </c>
      <c r="B250" s="168"/>
      <c r="C250" s="182"/>
      <c r="D250" s="183"/>
      <c r="E250" s="354"/>
      <c r="F250" s="171"/>
      <c r="G250" s="171"/>
      <c r="H250" s="357"/>
      <c r="I250" s="178"/>
    </row>
    <row r="251">
      <c r="A251" s="353" t="s">
        <v>62</v>
      </c>
      <c r="B251" s="168"/>
      <c r="C251" s="182"/>
      <c r="D251" s="183"/>
      <c r="E251" s="354"/>
      <c r="F251" s="171"/>
      <c r="G251" s="171"/>
      <c r="H251" s="357"/>
      <c r="I251" s="178"/>
    </row>
    <row r="252">
      <c r="A252" s="353" t="s">
        <v>62</v>
      </c>
      <c r="B252" s="168"/>
      <c r="C252" s="182"/>
      <c r="D252" s="183"/>
      <c r="E252" s="354"/>
      <c r="F252" s="171"/>
      <c r="G252" s="171"/>
      <c r="H252" s="357"/>
      <c r="I252" s="178"/>
    </row>
    <row r="253">
      <c r="A253" s="360" t="s">
        <v>62</v>
      </c>
      <c r="B253" s="196"/>
      <c r="C253" s="197"/>
      <c r="D253" s="198"/>
      <c r="E253" s="361"/>
      <c r="F253" s="200"/>
      <c r="G253" s="200"/>
      <c r="H253" s="362"/>
      <c r="I253" s="363"/>
    </row>
    <row r="255">
      <c r="A255" s="351" t="s">
        <v>63</v>
      </c>
      <c r="B255" s="158" t="s">
        <v>95</v>
      </c>
      <c r="C255" s="191">
        <v>44384.0</v>
      </c>
      <c r="D255" s="192" t="s">
        <v>32</v>
      </c>
      <c r="E255" s="365">
        <v>500.0</v>
      </c>
      <c r="F255" s="162" t="s">
        <v>14</v>
      </c>
      <c r="G255" s="162" t="s">
        <v>32</v>
      </c>
      <c r="H255" s="162" t="s">
        <v>16</v>
      </c>
      <c r="I255" s="194" t="s">
        <v>34</v>
      </c>
    </row>
    <row r="256">
      <c r="A256" s="353" t="s">
        <v>63</v>
      </c>
      <c r="B256" s="168" t="s">
        <v>95</v>
      </c>
      <c r="C256" s="182">
        <v>44384.0</v>
      </c>
      <c r="D256" s="183" t="s">
        <v>213</v>
      </c>
      <c r="E256" s="366">
        <v>500.0</v>
      </c>
      <c r="F256" s="171" t="s">
        <v>14</v>
      </c>
      <c r="G256" s="171" t="s">
        <v>41</v>
      </c>
      <c r="H256" s="355" t="s">
        <v>16</v>
      </c>
      <c r="I256" s="356" t="s">
        <v>42</v>
      </c>
    </row>
    <row r="257">
      <c r="A257" s="353" t="s">
        <v>63</v>
      </c>
      <c r="B257" s="168" t="s">
        <v>95</v>
      </c>
      <c r="C257" s="182">
        <v>44385.0</v>
      </c>
      <c r="D257" s="183" t="s">
        <v>32</v>
      </c>
      <c r="E257" s="366">
        <v>2.0</v>
      </c>
      <c r="F257" s="171" t="s">
        <v>14</v>
      </c>
      <c r="G257" s="171" t="s">
        <v>32</v>
      </c>
      <c r="H257" s="355" t="s">
        <v>16</v>
      </c>
      <c r="I257" s="356" t="s">
        <v>34</v>
      </c>
    </row>
    <row r="258">
      <c r="A258" s="353" t="s">
        <v>63</v>
      </c>
      <c r="B258" s="168" t="s">
        <v>95</v>
      </c>
      <c r="C258" s="182">
        <v>44385.0</v>
      </c>
      <c r="D258" s="183" t="s">
        <v>31</v>
      </c>
      <c r="E258" s="366">
        <v>150.0</v>
      </c>
      <c r="F258" s="171" t="s">
        <v>14</v>
      </c>
      <c r="G258" s="171" t="s">
        <v>30</v>
      </c>
      <c r="H258" s="355" t="s">
        <v>16</v>
      </c>
      <c r="I258" s="356" t="s">
        <v>31</v>
      </c>
    </row>
    <row r="259">
      <c r="A259" s="353" t="s">
        <v>63</v>
      </c>
      <c r="B259" s="168" t="s">
        <v>89</v>
      </c>
      <c r="C259" s="182">
        <v>44385.0</v>
      </c>
      <c r="D259" s="183" t="s">
        <v>89</v>
      </c>
      <c r="E259" s="366">
        <v>150.0</v>
      </c>
      <c r="F259" s="171" t="s">
        <v>30</v>
      </c>
      <c r="G259" s="171" t="s">
        <v>24</v>
      </c>
      <c r="H259" s="355" t="s">
        <v>31</v>
      </c>
      <c r="I259" s="356" t="s">
        <v>26</v>
      </c>
    </row>
    <row r="260">
      <c r="A260" s="353" t="s">
        <v>63</v>
      </c>
      <c r="B260" s="168" t="s">
        <v>95</v>
      </c>
      <c r="C260" s="182">
        <v>44393.0</v>
      </c>
      <c r="D260" s="183" t="s">
        <v>328</v>
      </c>
      <c r="E260" s="366">
        <v>228.0</v>
      </c>
      <c r="F260" s="171" t="s">
        <v>24</v>
      </c>
      <c r="G260" s="171" t="s">
        <v>14</v>
      </c>
      <c r="H260" s="355" t="s">
        <v>26</v>
      </c>
      <c r="I260" s="356" t="s">
        <v>16</v>
      </c>
    </row>
    <row r="261">
      <c r="A261" s="353" t="s">
        <v>63</v>
      </c>
      <c r="B261" s="168" t="s">
        <v>89</v>
      </c>
      <c r="C261" s="182">
        <v>44398.0</v>
      </c>
      <c r="D261" s="183" t="s">
        <v>89</v>
      </c>
      <c r="E261" s="354">
        <v>150.0</v>
      </c>
      <c r="F261" s="171" t="s">
        <v>14</v>
      </c>
      <c r="G261" s="171" t="s">
        <v>24</v>
      </c>
      <c r="H261" s="355" t="s">
        <v>16</v>
      </c>
      <c r="I261" s="356" t="s">
        <v>26</v>
      </c>
    </row>
    <row r="262">
      <c r="A262" s="353" t="s">
        <v>63</v>
      </c>
      <c r="B262" s="168"/>
      <c r="C262" s="182"/>
      <c r="D262" s="183"/>
      <c r="E262" s="354"/>
      <c r="F262" s="171"/>
      <c r="G262" s="357"/>
      <c r="H262" s="358"/>
      <c r="I262" s="359"/>
    </row>
    <row r="263">
      <c r="A263" s="353" t="s">
        <v>63</v>
      </c>
      <c r="B263" s="168"/>
      <c r="C263" s="182"/>
      <c r="D263" s="183"/>
      <c r="E263" s="354"/>
      <c r="F263" s="171"/>
      <c r="G263" s="357"/>
      <c r="H263" s="358"/>
      <c r="I263" s="359"/>
    </row>
    <row r="264">
      <c r="A264" s="353" t="s">
        <v>63</v>
      </c>
      <c r="B264" s="168"/>
      <c r="C264" s="182"/>
      <c r="D264" s="183"/>
      <c r="E264" s="354"/>
      <c r="F264" s="171"/>
      <c r="G264" s="357"/>
      <c r="H264" s="358"/>
      <c r="I264" s="359"/>
    </row>
    <row r="265">
      <c r="A265" s="353" t="s">
        <v>63</v>
      </c>
      <c r="B265" s="168"/>
      <c r="C265" s="182"/>
      <c r="D265" s="183"/>
      <c r="E265" s="354"/>
      <c r="F265" s="171"/>
      <c r="G265" s="357"/>
      <c r="H265" s="358"/>
      <c r="I265" s="359"/>
    </row>
    <row r="266">
      <c r="A266" s="353" t="s">
        <v>63</v>
      </c>
      <c r="B266" s="168"/>
      <c r="C266" s="182"/>
      <c r="D266" s="183"/>
      <c r="E266" s="354"/>
      <c r="F266" s="171"/>
      <c r="G266" s="357"/>
      <c r="H266" s="358"/>
      <c r="I266" s="359"/>
    </row>
    <row r="267">
      <c r="A267" s="353" t="s">
        <v>63</v>
      </c>
      <c r="B267" s="168"/>
      <c r="C267" s="182"/>
      <c r="D267" s="183"/>
      <c r="E267" s="354"/>
      <c r="F267" s="171"/>
      <c r="G267" s="357"/>
      <c r="H267" s="358"/>
      <c r="I267" s="359"/>
    </row>
    <row r="268">
      <c r="A268" s="353" t="s">
        <v>63</v>
      </c>
      <c r="B268" s="168"/>
      <c r="C268" s="182"/>
      <c r="D268" s="183"/>
      <c r="E268" s="354"/>
      <c r="F268" s="171"/>
      <c r="G268" s="357"/>
      <c r="H268" s="358"/>
      <c r="I268" s="359"/>
    </row>
    <row r="269">
      <c r="A269" s="353" t="s">
        <v>63</v>
      </c>
      <c r="B269" s="168"/>
      <c r="C269" s="182"/>
      <c r="D269" s="183"/>
      <c r="E269" s="354"/>
      <c r="F269" s="171"/>
      <c r="G269" s="357"/>
      <c r="H269" s="358"/>
      <c r="I269" s="359"/>
    </row>
    <row r="270">
      <c r="A270" s="353" t="s">
        <v>63</v>
      </c>
      <c r="B270" s="168"/>
      <c r="C270" s="182"/>
      <c r="D270" s="183"/>
      <c r="E270" s="354"/>
      <c r="F270" s="171"/>
      <c r="G270" s="357"/>
      <c r="H270" s="358"/>
      <c r="I270" s="359"/>
    </row>
    <row r="271">
      <c r="A271" s="353" t="s">
        <v>63</v>
      </c>
      <c r="B271" s="168"/>
      <c r="C271" s="182"/>
      <c r="D271" s="183"/>
      <c r="E271" s="354"/>
      <c r="F271" s="171"/>
      <c r="G271" s="357"/>
      <c r="H271" s="358"/>
      <c r="I271" s="359"/>
    </row>
    <row r="272">
      <c r="A272" s="353" t="s">
        <v>63</v>
      </c>
      <c r="B272" s="168"/>
      <c r="C272" s="182"/>
      <c r="D272" s="183"/>
      <c r="E272" s="354"/>
      <c r="F272" s="171"/>
      <c r="G272" s="357"/>
      <c r="H272" s="358"/>
      <c r="I272" s="359"/>
    </row>
    <row r="273">
      <c r="A273" s="353" t="s">
        <v>63</v>
      </c>
      <c r="B273" s="168"/>
      <c r="C273" s="182"/>
      <c r="D273" s="183"/>
      <c r="E273" s="354"/>
      <c r="F273" s="171"/>
      <c r="G273" s="357"/>
      <c r="H273" s="358"/>
      <c r="I273" s="359"/>
    </row>
    <row r="274">
      <c r="A274" s="353" t="s">
        <v>63</v>
      </c>
      <c r="B274" s="168"/>
      <c r="C274" s="182"/>
      <c r="D274" s="183"/>
      <c r="E274" s="354"/>
      <c r="F274" s="171"/>
      <c r="G274" s="357"/>
      <c r="H274" s="358"/>
      <c r="I274" s="359"/>
    </row>
    <row r="275">
      <c r="A275" s="353" t="s">
        <v>63</v>
      </c>
      <c r="B275" s="168"/>
      <c r="C275" s="182"/>
      <c r="D275" s="183"/>
      <c r="E275" s="354"/>
      <c r="F275" s="171"/>
      <c r="G275" s="357"/>
      <c r="H275" s="358"/>
      <c r="I275" s="359"/>
    </row>
    <row r="276">
      <c r="A276" s="353" t="s">
        <v>63</v>
      </c>
      <c r="B276" s="168"/>
      <c r="C276" s="182"/>
      <c r="D276" s="183"/>
      <c r="E276" s="354"/>
      <c r="F276" s="171"/>
      <c r="G276" s="357"/>
      <c r="H276" s="358"/>
      <c r="I276" s="359"/>
    </row>
    <row r="277">
      <c r="A277" s="353" t="s">
        <v>63</v>
      </c>
      <c r="B277" s="168"/>
      <c r="C277" s="182"/>
      <c r="D277" s="183"/>
      <c r="E277" s="354"/>
      <c r="F277" s="171"/>
      <c r="G277" s="357"/>
      <c r="H277" s="358"/>
      <c r="I277" s="359"/>
    </row>
    <row r="278">
      <c r="A278" s="353" t="s">
        <v>63</v>
      </c>
      <c r="B278" s="168"/>
      <c r="C278" s="182"/>
      <c r="D278" s="183"/>
      <c r="E278" s="354"/>
      <c r="F278" s="171"/>
      <c r="G278" s="357"/>
      <c r="H278" s="358"/>
      <c r="I278" s="359"/>
    </row>
    <row r="279">
      <c r="A279" s="353" t="s">
        <v>63</v>
      </c>
      <c r="B279" s="168"/>
      <c r="C279" s="182"/>
      <c r="D279" s="183"/>
      <c r="E279" s="354"/>
      <c r="F279" s="171"/>
      <c r="G279" s="171"/>
      <c r="H279" s="357"/>
      <c r="I279" s="178"/>
    </row>
    <row r="280">
      <c r="A280" s="353" t="s">
        <v>63</v>
      </c>
      <c r="B280" s="168"/>
      <c r="C280" s="182"/>
      <c r="D280" s="183"/>
      <c r="E280" s="354"/>
      <c r="F280" s="171"/>
      <c r="G280" s="171"/>
      <c r="H280" s="357"/>
      <c r="I280" s="178"/>
    </row>
    <row r="281">
      <c r="A281" s="353" t="s">
        <v>63</v>
      </c>
      <c r="B281" s="168"/>
      <c r="C281" s="182"/>
      <c r="D281" s="183"/>
      <c r="E281" s="354"/>
      <c r="F281" s="171"/>
      <c r="G281" s="171"/>
      <c r="H281" s="357"/>
      <c r="I281" s="178"/>
    </row>
    <row r="282">
      <c r="A282" s="353" t="s">
        <v>63</v>
      </c>
      <c r="B282" s="168"/>
      <c r="C282" s="182"/>
      <c r="D282" s="183"/>
      <c r="E282" s="354"/>
      <c r="F282" s="171"/>
      <c r="G282" s="171"/>
      <c r="H282" s="357"/>
      <c r="I282" s="178"/>
    </row>
    <row r="283">
      <c r="A283" s="353" t="s">
        <v>63</v>
      </c>
      <c r="B283" s="168"/>
      <c r="C283" s="182"/>
      <c r="D283" s="183"/>
      <c r="E283" s="354"/>
      <c r="F283" s="171"/>
      <c r="G283" s="171"/>
      <c r="H283" s="357"/>
      <c r="I283" s="178"/>
    </row>
    <row r="284">
      <c r="A284" s="353" t="s">
        <v>63</v>
      </c>
      <c r="B284" s="168"/>
      <c r="C284" s="182"/>
      <c r="D284" s="183"/>
      <c r="E284" s="354"/>
      <c r="F284" s="171"/>
      <c r="G284" s="171"/>
      <c r="H284" s="357"/>
      <c r="I284" s="178"/>
    </row>
    <row r="285">
      <c r="A285" s="353" t="s">
        <v>63</v>
      </c>
      <c r="B285" s="168"/>
      <c r="C285" s="182"/>
      <c r="D285" s="183"/>
      <c r="E285" s="354"/>
      <c r="F285" s="171"/>
      <c r="G285" s="171"/>
      <c r="H285" s="357"/>
      <c r="I285" s="178"/>
    </row>
    <row r="286">
      <c r="A286" s="353" t="s">
        <v>63</v>
      </c>
      <c r="B286" s="168"/>
      <c r="C286" s="182"/>
      <c r="D286" s="183"/>
      <c r="E286" s="354"/>
      <c r="F286" s="171"/>
      <c r="G286" s="171"/>
      <c r="H286" s="357"/>
      <c r="I286" s="178"/>
    </row>
    <row r="287">
      <c r="A287" s="353" t="s">
        <v>63</v>
      </c>
      <c r="B287" s="168"/>
      <c r="C287" s="182"/>
      <c r="D287" s="183"/>
      <c r="E287" s="354"/>
      <c r="F287" s="171"/>
      <c r="G287" s="171"/>
      <c r="H287" s="357"/>
      <c r="I287" s="178"/>
    </row>
    <row r="288">
      <c r="A288" s="353" t="s">
        <v>63</v>
      </c>
      <c r="B288" s="168"/>
      <c r="C288" s="182"/>
      <c r="D288" s="183"/>
      <c r="E288" s="354"/>
      <c r="F288" s="171"/>
      <c r="G288" s="171"/>
      <c r="H288" s="357"/>
      <c r="I288" s="178"/>
    </row>
    <row r="289">
      <c r="A289" s="353" t="s">
        <v>63</v>
      </c>
      <c r="B289" s="168"/>
      <c r="C289" s="182"/>
      <c r="D289" s="183"/>
      <c r="E289" s="354"/>
      <c r="F289" s="171"/>
      <c r="G289" s="171"/>
      <c r="H289" s="357"/>
      <c r="I289" s="178"/>
    </row>
    <row r="290">
      <c r="A290" s="353" t="s">
        <v>63</v>
      </c>
      <c r="B290" s="168"/>
      <c r="C290" s="182"/>
      <c r="D290" s="183"/>
      <c r="E290" s="354"/>
      <c r="F290" s="171"/>
      <c r="G290" s="171"/>
      <c r="H290" s="357"/>
      <c r="I290" s="178"/>
    </row>
    <row r="291">
      <c r="A291" s="353" t="s">
        <v>63</v>
      </c>
      <c r="B291" s="168"/>
      <c r="C291" s="182"/>
      <c r="D291" s="183"/>
      <c r="E291" s="354"/>
      <c r="F291" s="171"/>
      <c r="G291" s="171"/>
      <c r="H291" s="357"/>
      <c r="I291" s="178"/>
    </row>
    <row r="292">
      <c r="A292" s="353" t="s">
        <v>63</v>
      </c>
      <c r="B292" s="168"/>
      <c r="C292" s="182"/>
      <c r="D292" s="183"/>
      <c r="E292" s="354"/>
      <c r="F292" s="171"/>
      <c r="G292" s="171"/>
      <c r="H292" s="357"/>
      <c r="I292" s="178"/>
    </row>
    <row r="293">
      <c r="A293" s="353" t="s">
        <v>63</v>
      </c>
      <c r="B293" s="168"/>
      <c r="C293" s="182"/>
      <c r="D293" s="183"/>
      <c r="E293" s="354"/>
      <c r="F293" s="171"/>
      <c r="G293" s="171"/>
      <c r="H293" s="357"/>
      <c r="I293" s="178"/>
    </row>
    <row r="294">
      <c r="A294" s="353" t="s">
        <v>63</v>
      </c>
      <c r="B294" s="168"/>
      <c r="C294" s="182"/>
      <c r="D294" s="183"/>
      <c r="E294" s="354"/>
      <c r="F294" s="171"/>
      <c r="G294" s="171"/>
      <c r="H294" s="357"/>
      <c r="I294" s="178"/>
    </row>
    <row r="295">
      <c r="A295" s="360" t="s">
        <v>63</v>
      </c>
      <c r="B295" s="196"/>
      <c r="C295" s="197"/>
      <c r="D295" s="198"/>
      <c r="E295" s="361"/>
      <c r="F295" s="200"/>
      <c r="G295" s="200"/>
      <c r="H295" s="362"/>
      <c r="I295" s="363"/>
    </row>
    <row r="297">
      <c r="A297" s="351" t="s">
        <v>64</v>
      </c>
      <c r="B297" s="158" t="s">
        <v>89</v>
      </c>
      <c r="C297" s="191">
        <v>44419.0</v>
      </c>
      <c r="D297" s="192" t="s">
        <v>89</v>
      </c>
      <c r="E297" s="365">
        <v>20.0</v>
      </c>
      <c r="F297" s="162" t="s">
        <v>14</v>
      </c>
      <c r="G297" s="162" t="s">
        <v>24</v>
      </c>
      <c r="H297" s="162" t="s">
        <v>16</v>
      </c>
      <c r="I297" s="194" t="s">
        <v>26</v>
      </c>
    </row>
    <row r="298">
      <c r="A298" s="353" t="s">
        <v>64</v>
      </c>
      <c r="B298" s="168"/>
      <c r="C298" s="182"/>
      <c r="D298" s="183"/>
      <c r="E298" s="366"/>
      <c r="F298" s="171"/>
      <c r="G298" s="171"/>
      <c r="H298" s="355"/>
      <c r="I298" s="356"/>
    </row>
    <row r="299">
      <c r="A299" s="353" t="s">
        <v>64</v>
      </c>
      <c r="B299" s="168"/>
      <c r="C299" s="182"/>
      <c r="D299" s="183"/>
      <c r="E299" s="366"/>
      <c r="F299" s="171"/>
      <c r="G299" s="171"/>
      <c r="H299" s="355"/>
      <c r="I299" s="356"/>
    </row>
    <row r="300">
      <c r="A300" s="353" t="s">
        <v>64</v>
      </c>
      <c r="B300" s="168"/>
      <c r="C300" s="182"/>
      <c r="D300" s="183"/>
      <c r="E300" s="366"/>
      <c r="F300" s="171"/>
      <c r="G300" s="171"/>
      <c r="H300" s="355"/>
      <c r="I300" s="356"/>
    </row>
    <row r="301">
      <c r="A301" s="353" t="s">
        <v>64</v>
      </c>
      <c r="B301" s="168"/>
      <c r="C301" s="182"/>
      <c r="D301" s="183"/>
      <c r="E301" s="366"/>
      <c r="F301" s="171"/>
      <c r="G301" s="171"/>
      <c r="H301" s="355"/>
      <c r="I301" s="356"/>
    </row>
    <row r="302">
      <c r="A302" s="353" t="s">
        <v>64</v>
      </c>
      <c r="B302" s="168"/>
      <c r="C302" s="182"/>
      <c r="D302" s="183"/>
      <c r="E302" s="366"/>
      <c r="F302" s="171"/>
      <c r="G302" s="171"/>
      <c r="H302" s="355"/>
      <c r="I302" s="356"/>
    </row>
    <row r="303">
      <c r="A303" s="353" t="s">
        <v>64</v>
      </c>
      <c r="B303" s="168"/>
      <c r="C303" s="182"/>
      <c r="D303" s="183"/>
      <c r="E303" s="354"/>
      <c r="F303" s="171"/>
      <c r="G303" s="357"/>
      <c r="H303" s="358"/>
      <c r="I303" s="359"/>
    </row>
    <row r="304">
      <c r="A304" s="353" t="s">
        <v>64</v>
      </c>
      <c r="B304" s="168"/>
      <c r="C304" s="182"/>
      <c r="D304" s="183"/>
      <c r="E304" s="354"/>
      <c r="F304" s="171"/>
      <c r="G304" s="357"/>
      <c r="H304" s="358"/>
      <c r="I304" s="359"/>
    </row>
    <row r="305">
      <c r="A305" s="353" t="s">
        <v>64</v>
      </c>
      <c r="B305" s="168"/>
      <c r="C305" s="182"/>
      <c r="D305" s="183"/>
      <c r="E305" s="354"/>
      <c r="F305" s="171"/>
      <c r="G305" s="357"/>
      <c r="H305" s="358"/>
      <c r="I305" s="359"/>
    </row>
    <row r="306">
      <c r="A306" s="353" t="s">
        <v>64</v>
      </c>
      <c r="B306" s="168"/>
      <c r="C306" s="182"/>
      <c r="D306" s="183"/>
      <c r="E306" s="354"/>
      <c r="F306" s="171"/>
      <c r="G306" s="357"/>
      <c r="H306" s="358"/>
      <c r="I306" s="359"/>
    </row>
    <row r="307">
      <c r="A307" s="353" t="s">
        <v>64</v>
      </c>
      <c r="B307" s="168"/>
      <c r="C307" s="182"/>
      <c r="D307" s="183"/>
      <c r="E307" s="354"/>
      <c r="F307" s="171"/>
      <c r="G307" s="357"/>
      <c r="H307" s="358"/>
      <c r="I307" s="359"/>
    </row>
    <row r="308">
      <c r="A308" s="353" t="s">
        <v>64</v>
      </c>
      <c r="B308" s="168"/>
      <c r="C308" s="182"/>
      <c r="D308" s="183"/>
      <c r="E308" s="354"/>
      <c r="F308" s="171"/>
      <c r="G308" s="357"/>
      <c r="H308" s="358"/>
      <c r="I308" s="359"/>
    </row>
    <row r="309">
      <c r="A309" s="353" t="s">
        <v>64</v>
      </c>
      <c r="B309" s="168"/>
      <c r="C309" s="182"/>
      <c r="D309" s="183"/>
      <c r="E309" s="354"/>
      <c r="F309" s="171"/>
      <c r="G309" s="357"/>
      <c r="H309" s="358"/>
      <c r="I309" s="359"/>
    </row>
    <row r="310">
      <c r="A310" s="353" t="s">
        <v>64</v>
      </c>
      <c r="B310" s="168"/>
      <c r="C310" s="182"/>
      <c r="D310" s="183"/>
      <c r="E310" s="354"/>
      <c r="F310" s="171"/>
      <c r="G310" s="357"/>
      <c r="H310" s="358"/>
      <c r="I310" s="359"/>
    </row>
    <row r="311">
      <c r="A311" s="353" t="s">
        <v>64</v>
      </c>
      <c r="B311" s="168"/>
      <c r="C311" s="182"/>
      <c r="D311" s="183"/>
      <c r="E311" s="354"/>
      <c r="F311" s="171"/>
      <c r="G311" s="357"/>
      <c r="H311" s="358"/>
      <c r="I311" s="359"/>
    </row>
    <row r="312">
      <c r="A312" s="353" t="s">
        <v>64</v>
      </c>
      <c r="B312" s="168"/>
      <c r="C312" s="182"/>
      <c r="D312" s="183"/>
      <c r="E312" s="354"/>
      <c r="F312" s="171"/>
      <c r="G312" s="357"/>
      <c r="H312" s="358"/>
      <c r="I312" s="359"/>
    </row>
    <row r="313">
      <c r="A313" s="353" t="s">
        <v>64</v>
      </c>
      <c r="B313" s="168"/>
      <c r="C313" s="182"/>
      <c r="D313" s="183"/>
      <c r="E313" s="354"/>
      <c r="F313" s="171"/>
      <c r="G313" s="357"/>
      <c r="H313" s="358"/>
      <c r="I313" s="359"/>
    </row>
    <row r="314">
      <c r="A314" s="353" t="s">
        <v>64</v>
      </c>
      <c r="B314" s="168"/>
      <c r="C314" s="182"/>
      <c r="D314" s="183"/>
      <c r="E314" s="354"/>
      <c r="F314" s="171"/>
      <c r="G314" s="357"/>
      <c r="H314" s="358"/>
      <c r="I314" s="359"/>
    </row>
    <row r="315">
      <c r="A315" s="353" t="s">
        <v>64</v>
      </c>
      <c r="B315" s="168"/>
      <c r="C315" s="182"/>
      <c r="D315" s="183"/>
      <c r="E315" s="354"/>
      <c r="F315" s="171"/>
      <c r="G315" s="357"/>
      <c r="H315" s="358"/>
      <c r="I315" s="359"/>
    </row>
    <row r="316">
      <c r="A316" s="353" t="s">
        <v>64</v>
      </c>
      <c r="B316" s="168"/>
      <c r="C316" s="182"/>
      <c r="D316" s="183"/>
      <c r="E316" s="354"/>
      <c r="F316" s="171"/>
      <c r="G316" s="357"/>
      <c r="H316" s="358"/>
      <c r="I316" s="359"/>
    </row>
    <row r="317">
      <c r="A317" s="353" t="s">
        <v>64</v>
      </c>
      <c r="B317" s="168"/>
      <c r="C317" s="182"/>
      <c r="D317" s="183"/>
      <c r="E317" s="354"/>
      <c r="F317" s="171"/>
      <c r="G317" s="357"/>
      <c r="H317" s="358"/>
      <c r="I317" s="359"/>
    </row>
    <row r="318">
      <c r="A318" s="353" t="s">
        <v>64</v>
      </c>
      <c r="B318" s="168"/>
      <c r="C318" s="182"/>
      <c r="D318" s="183"/>
      <c r="E318" s="354"/>
      <c r="F318" s="171"/>
      <c r="G318" s="357"/>
      <c r="H318" s="358"/>
      <c r="I318" s="359"/>
    </row>
    <row r="319">
      <c r="A319" s="353" t="s">
        <v>64</v>
      </c>
      <c r="B319" s="168"/>
      <c r="C319" s="182"/>
      <c r="D319" s="183"/>
      <c r="E319" s="354"/>
      <c r="F319" s="171"/>
      <c r="G319" s="357"/>
      <c r="H319" s="358"/>
      <c r="I319" s="359"/>
    </row>
    <row r="320">
      <c r="A320" s="353" t="s">
        <v>64</v>
      </c>
      <c r="B320" s="168"/>
      <c r="C320" s="182"/>
      <c r="D320" s="183"/>
      <c r="E320" s="354"/>
      <c r="F320" s="171"/>
      <c r="G320" s="357"/>
      <c r="H320" s="358"/>
      <c r="I320" s="359"/>
    </row>
    <row r="321">
      <c r="A321" s="353" t="s">
        <v>64</v>
      </c>
      <c r="B321" s="168"/>
      <c r="C321" s="182"/>
      <c r="D321" s="183"/>
      <c r="E321" s="354"/>
      <c r="F321" s="171"/>
      <c r="G321" s="171"/>
      <c r="H321" s="357"/>
      <c r="I321" s="178"/>
    </row>
    <row r="322">
      <c r="A322" s="353" t="s">
        <v>64</v>
      </c>
      <c r="B322" s="168"/>
      <c r="C322" s="182"/>
      <c r="D322" s="183"/>
      <c r="E322" s="354"/>
      <c r="F322" s="171"/>
      <c r="G322" s="171"/>
      <c r="H322" s="357"/>
      <c r="I322" s="178"/>
    </row>
    <row r="323">
      <c r="A323" s="353" t="s">
        <v>64</v>
      </c>
      <c r="B323" s="168"/>
      <c r="C323" s="182"/>
      <c r="D323" s="183"/>
      <c r="E323" s="354"/>
      <c r="F323" s="171"/>
      <c r="G323" s="171"/>
      <c r="H323" s="357"/>
      <c r="I323" s="178"/>
    </row>
    <row r="324">
      <c r="A324" s="353" t="s">
        <v>64</v>
      </c>
      <c r="B324" s="168"/>
      <c r="C324" s="182"/>
      <c r="D324" s="183"/>
      <c r="E324" s="354"/>
      <c r="F324" s="171"/>
      <c r="G324" s="171"/>
      <c r="H324" s="357"/>
      <c r="I324" s="178"/>
    </row>
    <row r="325">
      <c r="A325" s="353" t="s">
        <v>64</v>
      </c>
      <c r="B325" s="168"/>
      <c r="C325" s="182"/>
      <c r="D325" s="183"/>
      <c r="E325" s="354"/>
      <c r="F325" s="171"/>
      <c r="G325" s="171"/>
      <c r="H325" s="357"/>
      <c r="I325" s="178"/>
    </row>
    <row r="326">
      <c r="A326" s="353" t="s">
        <v>64</v>
      </c>
      <c r="B326" s="168"/>
      <c r="C326" s="182"/>
      <c r="D326" s="183"/>
      <c r="E326" s="354"/>
      <c r="F326" s="171"/>
      <c r="G326" s="171"/>
      <c r="H326" s="357"/>
      <c r="I326" s="178"/>
    </row>
    <row r="327">
      <c r="A327" s="353" t="s">
        <v>64</v>
      </c>
      <c r="B327" s="168"/>
      <c r="C327" s="182"/>
      <c r="D327" s="183"/>
      <c r="E327" s="354"/>
      <c r="F327" s="171"/>
      <c r="G327" s="171"/>
      <c r="H327" s="357"/>
      <c r="I327" s="178"/>
    </row>
    <row r="328">
      <c r="A328" s="353" t="s">
        <v>64</v>
      </c>
      <c r="B328" s="168"/>
      <c r="C328" s="182"/>
      <c r="D328" s="183"/>
      <c r="E328" s="354"/>
      <c r="F328" s="171"/>
      <c r="G328" s="171"/>
      <c r="H328" s="357"/>
      <c r="I328" s="178"/>
    </row>
    <row r="329">
      <c r="A329" s="353" t="s">
        <v>64</v>
      </c>
      <c r="B329" s="168"/>
      <c r="C329" s="182"/>
      <c r="D329" s="183"/>
      <c r="E329" s="354"/>
      <c r="F329" s="171"/>
      <c r="G329" s="171"/>
      <c r="H329" s="357"/>
      <c r="I329" s="178"/>
    </row>
    <row r="330">
      <c r="A330" s="353" t="s">
        <v>64</v>
      </c>
      <c r="B330" s="168"/>
      <c r="C330" s="182"/>
      <c r="D330" s="183"/>
      <c r="E330" s="354"/>
      <c r="F330" s="171"/>
      <c r="G330" s="171"/>
      <c r="H330" s="357"/>
      <c r="I330" s="178"/>
    </row>
    <row r="331">
      <c r="A331" s="353" t="s">
        <v>64</v>
      </c>
      <c r="B331" s="168"/>
      <c r="C331" s="182"/>
      <c r="D331" s="183"/>
      <c r="E331" s="354"/>
      <c r="F331" s="171"/>
      <c r="G331" s="171"/>
      <c r="H331" s="357"/>
      <c r="I331" s="178"/>
    </row>
    <row r="332">
      <c r="A332" s="353" t="s">
        <v>64</v>
      </c>
      <c r="B332" s="168"/>
      <c r="C332" s="182"/>
      <c r="D332" s="183"/>
      <c r="E332" s="354"/>
      <c r="F332" s="171"/>
      <c r="G332" s="171"/>
      <c r="H332" s="357"/>
      <c r="I332" s="178"/>
    </row>
    <row r="333">
      <c r="A333" s="353" t="s">
        <v>64</v>
      </c>
      <c r="B333" s="168"/>
      <c r="C333" s="182"/>
      <c r="D333" s="183"/>
      <c r="E333" s="354"/>
      <c r="F333" s="171"/>
      <c r="G333" s="171"/>
      <c r="H333" s="357"/>
      <c r="I333" s="178"/>
    </row>
    <row r="334">
      <c r="A334" s="353" t="s">
        <v>64</v>
      </c>
      <c r="B334" s="168"/>
      <c r="C334" s="182"/>
      <c r="D334" s="183"/>
      <c r="E334" s="354"/>
      <c r="F334" s="171"/>
      <c r="G334" s="171"/>
      <c r="H334" s="357"/>
      <c r="I334" s="178"/>
    </row>
    <row r="335">
      <c r="A335" s="353" t="s">
        <v>64</v>
      </c>
      <c r="B335" s="168"/>
      <c r="C335" s="182"/>
      <c r="D335" s="183"/>
      <c r="E335" s="354"/>
      <c r="F335" s="171"/>
      <c r="G335" s="171"/>
      <c r="H335" s="357"/>
      <c r="I335" s="178"/>
    </row>
    <row r="336">
      <c r="A336" s="353" t="s">
        <v>64</v>
      </c>
      <c r="B336" s="168"/>
      <c r="C336" s="182"/>
      <c r="D336" s="183"/>
      <c r="E336" s="354"/>
      <c r="F336" s="171"/>
      <c r="G336" s="171"/>
      <c r="H336" s="357"/>
      <c r="I336" s="178"/>
    </row>
    <row r="337">
      <c r="A337" s="360" t="s">
        <v>64</v>
      </c>
      <c r="B337" s="196"/>
      <c r="C337" s="197"/>
      <c r="D337" s="198"/>
      <c r="E337" s="361"/>
      <c r="F337" s="200"/>
      <c r="G337" s="200"/>
      <c r="H337" s="362"/>
      <c r="I337" s="363"/>
    </row>
    <row r="339">
      <c r="A339" s="351" t="s">
        <v>65</v>
      </c>
      <c r="B339" s="158" t="s">
        <v>95</v>
      </c>
      <c r="C339" s="191">
        <v>44441.0</v>
      </c>
      <c r="D339" s="192" t="s">
        <v>331</v>
      </c>
      <c r="E339" s="352">
        <v>400.0</v>
      </c>
      <c r="F339" s="162" t="s">
        <v>14</v>
      </c>
      <c r="G339" s="162" t="s">
        <v>14</v>
      </c>
      <c r="H339" s="162" t="s">
        <v>16</v>
      </c>
      <c r="I339" s="194" t="s">
        <v>19</v>
      </c>
    </row>
    <row r="340">
      <c r="A340" s="353" t="s">
        <v>65</v>
      </c>
      <c r="B340" s="168" t="s">
        <v>95</v>
      </c>
      <c r="C340" s="182">
        <v>44454.0</v>
      </c>
      <c r="D340" s="183" t="s">
        <v>332</v>
      </c>
      <c r="E340" s="354">
        <v>96.0</v>
      </c>
      <c r="F340" s="171" t="s">
        <v>14</v>
      </c>
      <c r="G340" s="171" t="s">
        <v>14</v>
      </c>
      <c r="H340" s="355" t="s">
        <v>19</v>
      </c>
      <c r="I340" s="356" t="s">
        <v>16</v>
      </c>
    </row>
    <row r="341">
      <c r="A341" s="353" t="s">
        <v>65</v>
      </c>
      <c r="B341" s="168" t="s">
        <v>89</v>
      </c>
      <c r="C341" s="182">
        <v>44454.0</v>
      </c>
      <c r="D341" s="183" t="s">
        <v>89</v>
      </c>
      <c r="E341" s="354">
        <v>50.0</v>
      </c>
      <c r="F341" s="171" t="s">
        <v>14</v>
      </c>
      <c r="G341" s="171" t="s">
        <v>24</v>
      </c>
      <c r="H341" s="355" t="s">
        <v>16</v>
      </c>
      <c r="I341" s="356" t="s">
        <v>26</v>
      </c>
    </row>
    <row r="342">
      <c r="A342" s="353" t="s">
        <v>65</v>
      </c>
      <c r="B342" s="168" t="s">
        <v>95</v>
      </c>
      <c r="C342" s="182">
        <v>44455.0</v>
      </c>
      <c r="D342" s="183" t="s">
        <v>32</v>
      </c>
      <c r="E342" s="354">
        <v>86.0</v>
      </c>
      <c r="F342" s="171" t="s">
        <v>14</v>
      </c>
      <c r="G342" s="171" t="s">
        <v>32</v>
      </c>
      <c r="H342" s="355" t="s">
        <v>16</v>
      </c>
      <c r="I342" s="356" t="s">
        <v>34</v>
      </c>
    </row>
    <row r="343">
      <c r="A343" s="353" t="s">
        <v>65</v>
      </c>
      <c r="B343" s="168" t="s">
        <v>95</v>
      </c>
      <c r="C343" s="182">
        <v>44455.0</v>
      </c>
      <c r="D343" s="183" t="s">
        <v>331</v>
      </c>
      <c r="E343" s="354">
        <v>150.13</v>
      </c>
      <c r="F343" s="171" t="s">
        <v>14</v>
      </c>
      <c r="G343" s="171" t="s">
        <v>14</v>
      </c>
      <c r="H343" s="355" t="s">
        <v>16</v>
      </c>
      <c r="I343" s="356" t="s">
        <v>19</v>
      </c>
    </row>
    <row r="344">
      <c r="A344" s="353" t="s">
        <v>65</v>
      </c>
      <c r="B344" s="168" t="s">
        <v>95</v>
      </c>
      <c r="C344" s="182">
        <v>44462.0</v>
      </c>
      <c r="D344" s="183" t="s">
        <v>291</v>
      </c>
      <c r="E344" s="367">
        <v>404.30999999999995</v>
      </c>
      <c r="F344" s="171" t="s">
        <v>14</v>
      </c>
      <c r="G344" s="171" t="s">
        <v>14</v>
      </c>
      <c r="H344" s="355" t="s">
        <v>19</v>
      </c>
      <c r="I344" s="356" t="s">
        <v>16</v>
      </c>
    </row>
    <row r="345">
      <c r="A345" s="353" t="s">
        <v>65</v>
      </c>
      <c r="B345" s="168"/>
      <c r="C345" s="182"/>
      <c r="D345" s="183"/>
      <c r="E345" s="354"/>
      <c r="F345" s="171"/>
      <c r="G345" s="171"/>
      <c r="H345" s="355"/>
      <c r="I345" s="356"/>
    </row>
    <row r="346">
      <c r="A346" s="353" t="s">
        <v>65</v>
      </c>
      <c r="B346" s="168"/>
      <c r="C346" s="182"/>
      <c r="D346" s="183"/>
      <c r="E346" s="354"/>
      <c r="F346" s="171"/>
      <c r="G346" s="357"/>
      <c r="H346" s="358"/>
      <c r="I346" s="359"/>
    </row>
    <row r="347">
      <c r="A347" s="353" t="s">
        <v>65</v>
      </c>
      <c r="B347" s="168"/>
      <c r="C347" s="182"/>
      <c r="D347" s="183"/>
      <c r="E347" s="354"/>
      <c r="F347" s="171"/>
      <c r="G347" s="357"/>
      <c r="H347" s="358"/>
      <c r="I347" s="359"/>
    </row>
    <row r="348">
      <c r="A348" s="353" t="s">
        <v>65</v>
      </c>
      <c r="B348" s="168"/>
      <c r="C348" s="182"/>
      <c r="D348" s="183"/>
      <c r="E348" s="354"/>
      <c r="F348" s="171"/>
      <c r="G348" s="357"/>
      <c r="H348" s="358"/>
      <c r="I348" s="359"/>
    </row>
    <row r="349">
      <c r="A349" s="353" t="s">
        <v>65</v>
      </c>
      <c r="B349" s="168"/>
      <c r="C349" s="182"/>
      <c r="D349" s="183"/>
      <c r="E349" s="354"/>
      <c r="F349" s="171"/>
      <c r="G349" s="357"/>
      <c r="H349" s="358"/>
      <c r="I349" s="359"/>
    </row>
    <row r="350">
      <c r="A350" s="353" t="s">
        <v>65</v>
      </c>
      <c r="B350" s="168"/>
      <c r="C350" s="182"/>
      <c r="D350" s="183"/>
      <c r="E350" s="354"/>
      <c r="F350" s="171"/>
      <c r="G350" s="357"/>
      <c r="H350" s="358"/>
      <c r="I350" s="359"/>
    </row>
    <row r="351">
      <c r="A351" s="353" t="s">
        <v>65</v>
      </c>
      <c r="B351" s="168"/>
      <c r="C351" s="182"/>
      <c r="D351" s="183"/>
      <c r="E351" s="354"/>
      <c r="F351" s="171"/>
      <c r="G351" s="357"/>
      <c r="H351" s="358"/>
      <c r="I351" s="359"/>
    </row>
    <row r="352">
      <c r="A352" s="353" t="s">
        <v>65</v>
      </c>
      <c r="B352" s="168"/>
      <c r="C352" s="182"/>
      <c r="D352" s="183"/>
      <c r="E352" s="354"/>
      <c r="F352" s="171"/>
      <c r="G352" s="357"/>
      <c r="H352" s="358"/>
      <c r="I352" s="359"/>
    </row>
    <row r="353">
      <c r="A353" s="353" t="s">
        <v>65</v>
      </c>
      <c r="B353" s="168"/>
      <c r="C353" s="182"/>
      <c r="D353" s="183"/>
      <c r="E353" s="354"/>
      <c r="F353" s="171"/>
      <c r="G353" s="357"/>
      <c r="H353" s="358"/>
      <c r="I353" s="359"/>
    </row>
    <row r="354">
      <c r="A354" s="353" t="s">
        <v>65</v>
      </c>
      <c r="B354" s="168"/>
      <c r="C354" s="182"/>
      <c r="D354" s="183"/>
      <c r="E354" s="354"/>
      <c r="F354" s="171"/>
      <c r="G354" s="357"/>
      <c r="H354" s="358"/>
      <c r="I354" s="359"/>
    </row>
    <row r="355">
      <c r="A355" s="353" t="s">
        <v>65</v>
      </c>
      <c r="B355" s="168"/>
      <c r="C355" s="182"/>
      <c r="D355" s="183"/>
      <c r="E355" s="354"/>
      <c r="F355" s="171"/>
      <c r="G355" s="357"/>
      <c r="H355" s="358"/>
      <c r="I355" s="359"/>
    </row>
    <row r="356">
      <c r="A356" s="353" t="s">
        <v>65</v>
      </c>
      <c r="B356" s="168"/>
      <c r="C356" s="182"/>
      <c r="D356" s="183"/>
      <c r="E356" s="354"/>
      <c r="F356" s="171"/>
      <c r="G356" s="357"/>
      <c r="H356" s="358"/>
      <c r="I356" s="359"/>
    </row>
    <row r="357">
      <c r="A357" s="353" t="s">
        <v>65</v>
      </c>
      <c r="B357" s="168"/>
      <c r="C357" s="182"/>
      <c r="D357" s="183"/>
      <c r="E357" s="354"/>
      <c r="F357" s="171"/>
      <c r="G357" s="357"/>
      <c r="H357" s="358"/>
      <c r="I357" s="359"/>
    </row>
    <row r="358">
      <c r="A358" s="353" t="s">
        <v>65</v>
      </c>
      <c r="B358" s="168"/>
      <c r="C358" s="182"/>
      <c r="D358" s="183"/>
      <c r="E358" s="354"/>
      <c r="F358" s="171"/>
      <c r="G358" s="357"/>
      <c r="H358" s="358"/>
      <c r="I358" s="359"/>
    </row>
    <row r="359">
      <c r="A359" s="353" t="s">
        <v>65</v>
      </c>
      <c r="B359" s="168"/>
      <c r="C359" s="182"/>
      <c r="D359" s="183"/>
      <c r="E359" s="354"/>
      <c r="F359" s="171"/>
      <c r="G359" s="357"/>
      <c r="H359" s="358"/>
      <c r="I359" s="359"/>
    </row>
    <row r="360">
      <c r="A360" s="353" t="s">
        <v>65</v>
      </c>
      <c r="B360" s="168"/>
      <c r="C360" s="182"/>
      <c r="D360" s="183"/>
      <c r="E360" s="354"/>
      <c r="F360" s="171"/>
      <c r="G360" s="357"/>
      <c r="H360" s="358"/>
      <c r="I360" s="359"/>
    </row>
    <row r="361">
      <c r="A361" s="353" t="s">
        <v>65</v>
      </c>
      <c r="B361" s="168"/>
      <c r="C361" s="182"/>
      <c r="D361" s="183"/>
      <c r="E361" s="354"/>
      <c r="F361" s="171"/>
      <c r="G361" s="357"/>
      <c r="H361" s="358"/>
      <c r="I361" s="359"/>
    </row>
    <row r="362">
      <c r="A362" s="353" t="s">
        <v>65</v>
      </c>
      <c r="B362" s="168"/>
      <c r="C362" s="182"/>
      <c r="D362" s="183"/>
      <c r="E362" s="354"/>
      <c r="F362" s="171"/>
      <c r="G362" s="357"/>
      <c r="H362" s="358"/>
      <c r="I362" s="359"/>
    </row>
    <row r="363">
      <c r="A363" s="353" t="s">
        <v>65</v>
      </c>
      <c r="B363" s="168"/>
      <c r="C363" s="182"/>
      <c r="D363" s="183"/>
      <c r="E363" s="354"/>
      <c r="F363" s="171"/>
      <c r="G363" s="171"/>
      <c r="H363" s="357"/>
      <c r="I363" s="178"/>
    </row>
    <row r="364">
      <c r="A364" s="353" t="s">
        <v>65</v>
      </c>
      <c r="B364" s="168"/>
      <c r="C364" s="182"/>
      <c r="D364" s="183"/>
      <c r="E364" s="354"/>
      <c r="F364" s="171"/>
      <c r="G364" s="171"/>
      <c r="H364" s="357"/>
      <c r="I364" s="178"/>
    </row>
    <row r="365">
      <c r="A365" s="353" t="s">
        <v>65</v>
      </c>
      <c r="B365" s="168"/>
      <c r="C365" s="182"/>
      <c r="D365" s="183"/>
      <c r="E365" s="354"/>
      <c r="F365" s="171"/>
      <c r="G365" s="171"/>
      <c r="H365" s="357"/>
      <c r="I365" s="178"/>
    </row>
    <row r="366">
      <c r="A366" s="353" t="s">
        <v>65</v>
      </c>
      <c r="B366" s="168"/>
      <c r="C366" s="182"/>
      <c r="D366" s="183"/>
      <c r="E366" s="354"/>
      <c r="F366" s="171"/>
      <c r="G366" s="171"/>
      <c r="H366" s="357"/>
      <c r="I366" s="178"/>
    </row>
    <row r="367">
      <c r="A367" s="353" t="s">
        <v>65</v>
      </c>
      <c r="B367" s="168"/>
      <c r="C367" s="182"/>
      <c r="D367" s="183"/>
      <c r="E367" s="354"/>
      <c r="F367" s="171"/>
      <c r="G367" s="171"/>
      <c r="H367" s="357"/>
      <c r="I367" s="178"/>
    </row>
    <row r="368">
      <c r="A368" s="353" t="s">
        <v>65</v>
      </c>
      <c r="B368" s="168"/>
      <c r="C368" s="182"/>
      <c r="D368" s="183"/>
      <c r="E368" s="354"/>
      <c r="F368" s="171"/>
      <c r="G368" s="171"/>
      <c r="H368" s="357"/>
      <c r="I368" s="178"/>
    </row>
    <row r="369">
      <c r="A369" s="353" t="s">
        <v>65</v>
      </c>
      <c r="B369" s="168"/>
      <c r="C369" s="182"/>
      <c r="D369" s="183"/>
      <c r="E369" s="354"/>
      <c r="F369" s="171"/>
      <c r="G369" s="171"/>
      <c r="H369" s="357"/>
      <c r="I369" s="178"/>
    </row>
    <row r="370">
      <c r="A370" s="353" t="s">
        <v>65</v>
      </c>
      <c r="B370" s="168"/>
      <c r="C370" s="182"/>
      <c r="D370" s="183"/>
      <c r="E370" s="354"/>
      <c r="F370" s="171"/>
      <c r="G370" s="171"/>
      <c r="H370" s="357"/>
      <c r="I370" s="178"/>
    </row>
    <row r="371">
      <c r="A371" s="353" t="s">
        <v>65</v>
      </c>
      <c r="B371" s="168"/>
      <c r="C371" s="182"/>
      <c r="D371" s="183"/>
      <c r="E371" s="354"/>
      <c r="F371" s="171"/>
      <c r="G371" s="171"/>
      <c r="H371" s="357"/>
      <c r="I371" s="178"/>
    </row>
    <row r="372">
      <c r="A372" s="353" t="s">
        <v>65</v>
      </c>
      <c r="B372" s="168"/>
      <c r="C372" s="182"/>
      <c r="D372" s="183"/>
      <c r="E372" s="354"/>
      <c r="F372" s="171"/>
      <c r="G372" s="171"/>
      <c r="H372" s="357"/>
      <c r="I372" s="178"/>
    </row>
    <row r="373">
      <c r="A373" s="353" t="s">
        <v>65</v>
      </c>
      <c r="B373" s="168"/>
      <c r="C373" s="182"/>
      <c r="D373" s="183"/>
      <c r="E373" s="354"/>
      <c r="F373" s="171"/>
      <c r="G373" s="171"/>
      <c r="H373" s="357"/>
      <c r="I373" s="178"/>
    </row>
    <row r="374">
      <c r="A374" s="353" t="s">
        <v>65</v>
      </c>
      <c r="B374" s="168"/>
      <c r="C374" s="182"/>
      <c r="D374" s="183"/>
      <c r="E374" s="354"/>
      <c r="F374" s="171"/>
      <c r="G374" s="171"/>
      <c r="H374" s="357"/>
      <c r="I374" s="178"/>
    </row>
    <row r="375">
      <c r="A375" s="353" t="s">
        <v>65</v>
      </c>
      <c r="B375" s="168"/>
      <c r="C375" s="182"/>
      <c r="D375" s="183"/>
      <c r="E375" s="354"/>
      <c r="F375" s="171"/>
      <c r="G375" s="171"/>
      <c r="H375" s="357"/>
      <c r="I375" s="178"/>
    </row>
    <row r="376">
      <c r="A376" s="353" t="s">
        <v>65</v>
      </c>
      <c r="B376" s="168"/>
      <c r="C376" s="182"/>
      <c r="D376" s="183"/>
      <c r="E376" s="354"/>
      <c r="F376" s="171"/>
      <c r="G376" s="171"/>
      <c r="H376" s="357"/>
      <c r="I376" s="178"/>
    </row>
    <row r="377">
      <c r="A377" s="353" t="s">
        <v>65</v>
      </c>
      <c r="B377" s="168"/>
      <c r="C377" s="182"/>
      <c r="D377" s="183"/>
      <c r="E377" s="354"/>
      <c r="F377" s="171"/>
      <c r="G377" s="171"/>
      <c r="H377" s="357"/>
      <c r="I377" s="178"/>
    </row>
    <row r="378">
      <c r="A378" s="353" t="s">
        <v>65</v>
      </c>
      <c r="B378" s="168"/>
      <c r="C378" s="182"/>
      <c r="D378" s="183"/>
      <c r="E378" s="354"/>
      <c r="F378" s="171"/>
      <c r="G378" s="171"/>
      <c r="H378" s="357"/>
      <c r="I378" s="178"/>
    </row>
    <row r="379">
      <c r="A379" s="360" t="s">
        <v>65</v>
      </c>
      <c r="B379" s="196"/>
      <c r="C379" s="197"/>
      <c r="D379" s="198"/>
      <c r="E379" s="361"/>
      <c r="F379" s="200"/>
      <c r="G379" s="200"/>
      <c r="H379" s="362"/>
      <c r="I379" s="363"/>
    </row>
    <row r="381">
      <c r="A381" s="351" t="s">
        <v>66</v>
      </c>
      <c r="B381" s="158"/>
      <c r="C381" s="191"/>
      <c r="D381" s="192"/>
      <c r="E381" s="352"/>
      <c r="F381" s="162"/>
      <c r="G381" s="162"/>
      <c r="H381" s="162"/>
      <c r="I381" s="194"/>
    </row>
    <row r="382">
      <c r="A382" s="353" t="s">
        <v>66</v>
      </c>
      <c r="B382" s="168"/>
      <c r="C382" s="182"/>
      <c r="D382" s="183"/>
      <c r="E382" s="354"/>
      <c r="F382" s="171"/>
      <c r="G382" s="171"/>
      <c r="H382" s="355"/>
      <c r="I382" s="356"/>
    </row>
    <row r="383">
      <c r="A383" s="353" t="s">
        <v>66</v>
      </c>
      <c r="B383" s="168"/>
      <c r="C383" s="182"/>
      <c r="D383" s="183"/>
      <c r="E383" s="354"/>
      <c r="F383" s="171"/>
      <c r="G383" s="171"/>
      <c r="H383" s="355"/>
      <c r="I383" s="356"/>
    </row>
    <row r="384">
      <c r="A384" s="353" t="s">
        <v>66</v>
      </c>
      <c r="B384" s="168"/>
      <c r="C384" s="182"/>
      <c r="D384" s="183"/>
      <c r="E384" s="354"/>
      <c r="F384" s="171"/>
      <c r="G384" s="171"/>
      <c r="H384" s="355"/>
      <c r="I384" s="356"/>
    </row>
    <row r="385">
      <c r="A385" s="353" t="s">
        <v>66</v>
      </c>
      <c r="B385" s="168"/>
      <c r="C385" s="182"/>
      <c r="D385" s="183"/>
      <c r="E385" s="354"/>
      <c r="F385" s="171"/>
      <c r="G385" s="171"/>
      <c r="H385" s="355"/>
      <c r="I385" s="356"/>
    </row>
    <row r="386">
      <c r="A386" s="353" t="s">
        <v>66</v>
      </c>
      <c r="B386" s="168"/>
      <c r="C386" s="182"/>
      <c r="D386" s="183"/>
      <c r="E386" s="354"/>
      <c r="F386" s="171"/>
      <c r="G386" s="171"/>
      <c r="H386" s="355"/>
      <c r="I386" s="356"/>
    </row>
    <row r="387">
      <c r="A387" s="353" t="s">
        <v>66</v>
      </c>
      <c r="B387" s="168"/>
      <c r="C387" s="182"/>
      <c r="D387" s="183"/>
      <c r="E387" s="354"/>
      <c r="F387" s="171"/>
      <c r="G387" s="171"/>
      <c r="H387" s="355"/>
      <c r="I387" s="356"/>
    </row>
    <row r="388">
      <c r="A388" s="353" t="s">
        <v>66</v>
      </c>
      <c r="B388" s="168"/>
      <c r="C388" s="182"/>
      <c r="D388" s="183"/>
      <c r="E388" s="354"/>
      <c r="F388" s="171"/>
      <c r="G388" s="357"/>
      <c r="H388" s="358"/>
      <c r="I388" s="359"/>
    </row>
    <row r="389">
      <c r="A389" s="353" t="s">
        <v>66</v>
      </c>
      <c r="B389" s="168"/>
      <c r="C389" s="182"/>
      <c r="D389" s="183"/>
      <c r="E389" s="354"/>
      <c r="F389" s="171"/>
      <c r="G389" s="357"/>
      <c r="H389" s="358"/>
      <c r="I389" s="359"/>
    </row>
    <row r="390">
      <c r="A390" s="353" t="s">
        <v>66</v>
      </c>
      <c r="B390" s="168"/>
      <c r="C390" s="182"/>
      <c r="D390" s="183"/>
      <c r="E390" s="354"/>
      <c r="F390" s="171"/>
      <c r="G390" s="357"/>
      <c r="H390" s="358"/>
      <c r="I390" s="359"/>
    </row>
    <row r="391">
      <c r="A391" s="353" t="s">
        <v>66</v>
      </c>
      <c r="B391" s="168"/>
      <c r="C391" s="182"/>
      <c r="D391" s="183"/>
      <c r="E391" s="354"/>
      <c r="F391" s="171"/>
      <c r="G391" s="357"/>
      <c r="H391" s="358"/>
      <c r="I391" s="359"/>
    </row>
    <row r="392">
      <c r="A392" s="353" t="s">
        <v>66</v>
      </c>
      <c r="B392" s="168"/>
      <c r="C392" s="182"/>
      <c r="D392" s="183"/>
      <c r="E392" s="354"/>
      <c r="F392" s="171"/>
      <c r="G392" s="357"/>
      <c r="H392" s="358"/>
      <c r="I392" s="359"/>
    </row>
    <row r="393">
      <c r="A393" s="353" t="s">
        <v>66</v>
      </c>
      <c r="B393" s="168"/>
      <c r="C393" s="182"/>
      <c r="D393" s="183"/>
      <c r="E393" s="354"/>
      <c r="F393" s="171"/>
      <c r="G393" s="357"/>
      <c r="H393" s="358"/>
      <c r="I393" s="359"/>
    </row>
    <row r="394">
      <c r="A394" s="353" t="s">
        <v>66</v>
      </c>
      <c r="B394" s="168"/>
      <c r="C394" s="182"/>
      <c r="D394" s="183"/>
      <c r="E394" s="354"/>
      <c r="F394" s="171"/>
      <c r="G394" s="357"/>
      <c r="H394" s="358"/>
      <c r="I394" s="359"/>
    </row>
    <row r="395">
      <c r="A395" s="353" t="s">
        <v>66</v>
      </c>
      <c r="B395" s="168"/>
      <c r="C395" s="182"/>
      <c r="D395" s="183"/>
      <c r="E395" s="354"/>
      <c r="F395" s="171"/>
      <c r="G395" s="357"/>
      <c r="H395" s="358"/>
      <c r="I395" s="359"/>
    </row>
    <row r="396">
      <c r="A396" s="353" t="s">
        <v>66</v>
      </c>
      <c r="B396" s="168"/>
      <c r="C396" s="182"/>
      <c r="D396" s="183"/>
      <c r="E396" s="354"/>
      <c r="F396" s="171"/>
      <c r="G396" s="357"/>
      <c r="H396" s="358"/>
      <c r="I396" s="359"/>
    </row>
    <row r="397">
      <c r="A397" s="353" t="s">
        <v>66</v>
      </c>
      <c r="B397" s="168"/>
      <c r="C397" s="182"/>
      <c r="D397" s="183"/>
      <c r="E397" s="354"/>
      <c r="F397" s="171"/>
      <c r="G397" s="357"/>
      <c r="H397" s="358"/>
      <c r="I397" s="359"/>
    </row>
    <row r="398">
      <c r="A398" s="353" t="s">
        <v>66</v>
      </c>
      <c r="B398" s="168"/>
      <c r="C398" s="182"/>
      <c r="D398" s="183"/>
      <c r="E398" s="354"/>
      <c r="F398" s="171"/>
      <c r="G398" s="357"/>
      <c r="H398" s="358"/>
      <c r="I398" s="359"/>
    </row>
    <row r="399">
      <c r="A399" s="353" t="s">
        <v>66</v>
      </c>
      <c r="B399" s="168"/>
      <c r="C399" s="182"/>
      <c r="D399" s="183"/>
      <c r="E399" s="354"/>
      <c r="F399" s="171"/>
      <c r="G399" s="357"/>
      <c r="H399" s="358"/>
      <c r="I399" s="359"/>
    </row>
    <row r="400">
      <c r="A400" s="353" t="s">
        <v>66</v>
      </c>
      <c r="B400" s="168"/>
      <c r="C400" s="182"/>
      <c r="D400" s="183"/>
      <c r="E400" s="354"/>
      <c r="F400" s="171"/>
      <c r="G400" s="357"/>
      <c r="H400" s="358"/>
      <c r="I400" s="359"/>
    </row>
    <row r="401">
      <c r="A401" s="353" t="s">
        <v>66</v>
      </c>
      <c r="B401" s="168"/>
      <c r="C401" s="182"/>
      <c r="D401" s="183"/>
      <c r="E401" s="354"/>
      <c r="F401" s="171"/>
      <c r="G401" s="357"/>
      <c r="H401" s="358"/>
      <c r="I401" s="359"/>
    </row>
    <row r="402">
      <c r="A402" s="353" t="s">
        <v>66</v>
      </c>
      <c r="B402" s="168"/>
      <c r="C402" s="182"/>
      <c r="D402" s="183"/>
      <c r="E402" s="354"/>
      <c r="F402" s="171"/>
      <c r="G402" s="357"/>
      <c r="H402" s="358"/>
      <c r="I402" s="359"/>
    </row>
    <row r="403">
      <c r="A403" s="353" t="s">
        <v>66</v>
      </c>
      <c r="B403" s="168"/>
      <c r="C403" s="182"/>
      <c r="D403" s="183"/>
      <c r="E403" s="354"/>
      <c r="F403" s="171"/>
      <c r="G403" s="357"/>
      <c r="H403" s="358"/>
      <c r="I403" s="359"/>
    </row>
    <row r="404">
      <c r="A404" s="353" t="s">
        <v>66</v>
      </c>
      <c r="B404" s="168"/>
      <c r="C404" s="182"/>
      <c r="D404" s="183"/>
      <c r="E404" s="354"/>
      <c r="F404" s="171"/>
      <c r="G404" s="357"/>
      <c r="H404" s="358"/>
      <c r="I404" s="359"/>
    </row>
    <row r="405">
      <c r="A405" s="353" t="s">
        <v>66</v>
      </c>
      <c r="B405" s="168"/>
      <c r="C405" s="182"/>
      <c r="D405" s="183"/>
      <c r="E405" s="354"/>
      <c r="F405" s="171"/>
      <c r="G405" s="171"/>
      <c r="H405" s="357"/>
      <c r="I405" s="178"/>
    </row>
    <row r="406">
      <c r="A406" s="353" t="s">
        <v>66</v>
      </c>
      <c r="B406" s="168"/>
      <c r="C406" s="182"/>
      <c r="D406" s="183"/>
      <c r="E406" s="354"/>
      <c r="F406" s="171"/>
      <c r="G406" s="171"/>
      <c r="H406" s="357"/>
      <c r="I406" s="178"/>
    </row>
    <row r="407">
      <c r="A407" s="353" t="s">
        <v>66</v>
      </c>
      <c r="B407" s="168"/>
      <c r="C407" s="182"/>
      <c r="D407" s="183"/>
      <c r="E407" s="354"/>
      <c r="F407" s="171"/>
      <c r="G407" s="171"/>
      <c r="H407" s="357"/>
      <c r="I407" s="178"/>
    </row>
    <row r="408">
      <c r="A408" s="353" t="s">
        <v>66</v>
      </c>
      <c r="B408" s="168"/>
      <c r="C408" s="182"/>
      <c r="D408" s="183"/>
      <c r="E408" s="354"/>
      <c r="F408" s="171"/>
      <c r="G408" s="171"/>
      <c r="H408" s="357"/>
      <c r="I408" s="178"/>
    </row>
    <row r="409">
      <c r="A409" s="353" t="s">
        <v>66</v>
      </c>
      <c r="B409" s="168"/>
      <c r="C409" s="182"/>
      <c r="D409" s="183"/>
      <c r="E409" s="354"/>
      <c r="F409" s="171"/>
      <c r="G409" s="171"/>
      <c r="H409" s="357"/>
      <c r="I409" s="178"/>
    </row>
    <row r="410">
      <c r="A410" s="353" t="s">
        <v>66</v>
      </c>
      <c r="B410" s="168"/>
      <c r="C410" s="182"/>
      <c r="D410" s="183"/>
      <c r="E410" s="354"/>
      <c r="F410" s="171"/>
      <c r="G410" s="171"/>
      <c r="H410" s="357"/>
      <c r="I410" s="178"/>
    </row>
    <row r="411">
      <c r="A411" s="353" t="s">
        <v>66</v>
      </c>
      <c r="B411" s="168"/>
      <c r="C411" s="182"/>
      <c r="D411" s="183"/>
      <c r="E411" s="354"/>
      <c r="F411" s="171"/>
      <c r="G411" s="171"/>
      <c r="H411" s="357"/>
      <c r="I411" s="178"/>
    </row>
    <row r="412">
      <c r="A412" s="353" t="s">
        <v>66</v>
      </c>
      <c r="B412" s="168"/>
      <c r="C412" s="182"/>
      <c r="D412" s="183"/>
      <c r="E412" s="354"/>
      <c r="F412" s="171"/>
      <c r="G412" s="171"/>
      <c r="H412" s="357"/>
      <c r="I412" s="178"/>
    </row>
    <row r="413">
      <c r="A413" s="353" t="s">
        <v>66</v>
      </c>
      <c r="B413" s="168"/>
      <c r="C413" s="182"/>
      <c r="D413" s="183"/>
      <c r="E413" s="354"/>
      <c r="F413" s="171"/>
      <c r="G413" s="171"/>
      <c r="H413" s="357"/>
      <c r="I413" s="178"/>
    </row>
    <row r="414">
      <c r="A414" s="353" t="s">
        <v>66</v>
      </c>
      <c r="B414" s="168"/>
      <c r="C414" s="182"/>
      <c r="D414" s="183"/>
      <c r="E414" s="354"/>
      <c r="F414" s="171"/>
      <c r="G414" s="171"/>
      <c r="H414" s="357"/>
      <c r="I414" s="178"/>
    </row>
    <row r="415">
      <c r="A415" s="353" t="s">
        <v>66</v>
      </c>
      <c r="B415" s="168"/>
      <c r="C415" s="182"/>
      <c r="D415" s="183"/>
      <c r="E415" s="354"/>
      <c r="F415" s="171"/>
      <c r="G415" s="171"/>
      <c r="H415" s="357"/>
      <c r="I415" s="178"/>
    </row>
    <row r="416">
      <c r="A416" s="353" t="s">
        <v>66</v>
      </c>
      <c r="B416" s="168"/>
      <c r="C416" s="182"/>
      <c r="D416" s="183"/>
      <c r="E416" s="354"/>
      <c r="F416" s="171"/>
      <c r="G416" s="171"/>
      <c r="H416" s="357"/>
      <c r="I416" s="178"/>
    </row>
    <row r="417">
      <c r="A417" s="353" t="s">
        <v>66</v>
      </c>
      <c r="B417" s="168"/>
      <c r="C417" s="182"/>
      <c r="D417" s="183"/>
      <c r="E417" s="354"/>
      <c r="F417" s="171"/>
      <c r="G417" s="171"/>
      <c r="H417" s="357"/>
      <c r="I417" s="178"/>
    </row>
    <row r="418">
      <c r="A418" s="353" t="s">
        <v>66</v>
      </c>
      <c r="B418" s="168"/>
      <c r="C418" s="182"/>
      <c r="D418" s="183"/>
      <c r="E418" s="354"/>
      <c r="F418" s="171"/>
      <c r="G418" s="171"/>
      <c r="H418" s="357"/>
      <c r="I418" s="178"/>
    </row>
    <row r="419">
      <c r="A419" s="353" t="s">
        <v>66</v>
      </c>
      <c r="B419" s="168"/>
      <c r="C419" s="182"/>
      <c r="D419" s="183"/>
      <c r="E419" s="354"/>
      <c r="F419" s="171"/>
      <c r="G419" s="171"/>
      <c r="H419" s="357"/>
      <c r="I419" s="178"/>
    </row>
    <row r="420">
      <c r="A420" s="353" t="s">
        <v>66</v>
      </c>
      <c r="B420" s="168"/>
      <c r="C420" s="182"/>
      <c r="D420" s="183"/>
      <c r="E420" s="354"/>
      <c r="F420" s="171"/>
      <c r="G420" s="171"/>
      <c r="H420" s="357"/>
      <c r="I420" s="178"/>
    </row>
    <row r="421">
      <c r="A421" s="360" t="s">
        <v>66</v>
      </c>
      <c r="B421" s="196"/>
      <c r="C421" s="197"/>
      <c r="D421" s="198"/>
      <c r="E421" s="361"/>
      <c r="F421" s="200"/>
      <c r="G421" s="200"/>
      <c r="H421" s="362"/>
      <c r="I421" s="363"/>
    </row>
    <row r="423">
      <c r="A423" s="351" t="s">
        <v>67</v>
      </c>
      <c r="B423" s="158" t="s">
        <v>95</v>
      </c>
      <c r="C423" s="191">
        <v>44501.0</v>
      </c>
      <c r="D423" s="192" t="s">
        <v>32</v>
      </c>
      <c r="E423" s="352">
        <v>50.0</v>
      </c>
      <c r="F423" s="162" t="s">
        <v>14</v>
      </c>
      <c r="G423" s="162" t="s">
        <v>32</v>
      </c>
      <c r="H423" s="162" t="s">
        <v>16</v>
      </c>
      <c r="I423" s="194" t="s">
        <v>34</v>
      </c>
    </row>
    <row r="424">
      <c r="A424" s="353" t="s">
        <v>67</v>
      </c>
      <c r="B424" s="168" t="s">
        <v>95</v>
      </c>
      <c r="C424" s="182">
        <v>44503.0</v>
      </c>
      <c r="D424" s="183" t="s">
        <v>328</v>
      </c>
      <c r="E424" s="354">
        <v>90.0</v>
      </c>
      <c r="F424" s="171" t="s">
        <v>24</v>
      </c>
      <c r="G424" s="171" t="s">
        <v>14</v>
      </c>
      <c r="H424" s="355" t="s">
        <v>26</v>
      </c>
      <c r="I424" s="356" t="s">
        <v>16</v>
      </c>
    </row>
    <row r="425">
      <c r="A425" s="353" t="s">
        <v>67</v>
      </c>
      <c r="B425" s="168" t="s">
        <v>95</v>
      </c>
      <c r="C425" s="182">
        <v>44511.0</v>
      </c>
      <c r="D425" s="183" t="s">
        <v>41</v>
      </c>
      <c r="E425" s="354">
        <v>211.48</v>
      </c>
      <c r="F425" s="171" t="s">
        <v>14</v>
      </c>
      <c r="G425" s="171" t="s">
        <v>41</v>
      </c>
      <c r="H425" s="355" t="s">
        <v>16</v>
      </c>
      <c r="I425" s="356" t="s">
        <v>42</v>
      </c>
    </row>
    <row r="426">
      <c r="A426" s="353" t="s">
        <v>67</v>
      </c>
      <c r="B426" s="168" t="s">
        <v>95</v>
      </c>
      <c r="C426" s="182">
        <v>44525.0</v>
      </c>
      <c r="D426" s="183" t="s">
        <v>325</v>
      </c>
      <c r="E426" s="354">
        <v>213.09</v>
      </c>
      <c r="F426" s="171" t="s">
        <v>41</v>
      </c>
      <c r="G426" s="171" t="s">
        <v>14</v>
      </c>
      <c r="H426" s="355" t="s">
        <v>42</v>
      </c>
      <c r="I426" s="356" t="s">
        <v>16</v>
      </c>
    </row>
    <row r="427">
      <c r="A427" s="353" t="s">
        <v>67</v>
      </c>
      <c r="B427" s="168"/>
      <c r="C427" s="182"/>
      <c r="D427" s="183"/>
      <c r="E427" s="354"/>
      <c r="F427" s="171"/>
      <c r="G427" s="171"/>
      <c r="H427" s="355"/>
      <c r="I427" s="356"/>
    </row>
    <row r="428">
      <c r="A428" s="353" t="s">
        <v>67</v>
      </c>
      <c r="B428" s="168"/>
      <c r="C428" s="182"/>
      <c r="D428" s="183"/>
      <c r="E428" s="354"/>
      <c r="F428" s="171"/>
      <c r="G428" s="171"/>
      <c r="H428" s="355"/>
      <c r="I428" s="356"/>
    </row>
    <row r="429">
      <c r="A429" s="353" t="s">
        <v>67</v>
      </c>
      <c r="B429" s="168"/>
      <c r="C429" s="182"/>
      <c r="D429" s="183"/>
      <c r="E429" s="354"/>
      <c r="F429" s="171"/>
      <c r="G429" s="171"/>
      <c r="H429" s="355"/>
      <c r="I429" s="356"/>
    </row>
    <row r="430">
      <c r="A430" s="353" t="s">
        <v>67</v>
      </c>
      <c r="B430" s="168"/>
      <c r="C430" s="182"/>
      <c r="D430" s="183"/>
      <c r="E430" s="354"/>
      <c r="F430" s="171"/>
      <c r="G430" s="171"/>
      <c r="H430" s="355"/>
      <c r="I430" s="356"/>
    </row>
    <row r="431">
      <c r="A431" s="353" t="s">
        <v>67</v>
      </c>
      <c r="B431" s="168"/>
      <c r="C431" s="182"/>
      <c r="D431" s="183"/>
      <c r="E431" s="354"/>
      <c r="F431" s="171"/>
      <c r="G431" s="171"/>
      <c r="H431" s="355"/>
      <c r="I431" s="356"/>
    </row>
    <row r="432">
      <c r="A432" s="353" t="s">
        <v>67</v>
      </c>
      <c r="B432" s="168"/>
      <c r="C432" s="182"/>
      <c r="D432" s="183"/>
      <c r="E432" s="354"/>
      <c r="F432" s="171"/>
      <c r="G432" s="171"/>
      <c r="H432" s="355"/>
      <c r="I432" s="356"/>
    </row>
    <row r="433">
      <c r="A433" s="353" t="s">
        <v>67</v>
      </c>
      <c r="B433" s="168"/>
      <c r="C433" s="182"/>
      <c r="D433" s="183"/>
      <c r="E433" s="354"/>
      <c r="F433" s="171"/>
      <c r="G433" s="171"/>
      <c r="H433" s="355"/>
      <c r="I433" s="356"/>
    </row>
    <row r="434">
      <c r="A434" s="353" t="s">
        <v>67</v>
      </c>
      <c r="B434" s="168"/>
      <c r="C434" s="182"/>
      <c r="D434" s="183"/>
      <c r="E434" s="354"/>
      <c r="F434" s="171"/>
      <c r="G434" s="171"/>
      <c r="H434" s="355"/>
      <c r="I434" s="356"/>
    </row>
    <row r="435">
      <c r="A435" s="353" t="s">
        <v>67</v>
      </c>
      <c r="B435" s="168"/>
      <c r="C435" s="182"/>
      <c r="D435" s="183"/>
      <c r="E435" s="354"/>
      <c r="F435" s="171"/>
      <c r="G435" s="171"/>
      <c r="H435" s="355"/>
      <c r="I435" s="356"/>
    </row>
    <row r="436">
      <c r="A436" s="353" t="s">
        <v>67</v>
      </c>
      <c r="B436" s="168"/>
      <c r="C436" s="182"/>
      <c r="D436" s="183"/>
      <c r="E436" s="354"/>
      <c r="F436" s="171"/>
      <c r="G436" s="357"/>
      <c r="H436" s="358"/>
      <c r="I436" s="359"/>
    </row>
    <row r="437">
      <c r="A437" s="353" t="s">
        <v>67</v>
      </c>
      <c r="B437" s="168"/>
      <c r="C437" s="182"/>
      <c r="D437" s="183"/>
      <c r="E437" s="354"/>
      <c r="F437" s="171"/>
      <c r="G437" s="357"/>
      <c r="H437" s="358"/>
      <c r="I437" s="359"/>
    </row>
    <row r="438">
      <c r="A438" s="353" t="s">
        <v>67</v>
      </c>
      <c r="B438" s="168"/>
      <c r="C438" s="182"/>
      <c r="D438" s="183"/>
      <c r="E438" s="354"/>
      <c r="F438" s="171"/>
      <c r="G438" s="357"/>
      <c r="H438" s="358"/>
      <c r="I438" s="359"/>
    </row>
    <row r="439">
      <c r="A439" s="353" t="s">
        <v>67</v>
      </c>
      <c r="B439" s="168"/>
      <c r="C439" s="182"/>
      <c r="D439" s="183"/>
      <c r="E439" s="354"/>
      <c r="F439" s="171"/>
      <c r="G439" s="357"/>
      <c r="H439" s="358"/>
      <c r="I439" s="359"/>
    </row>
    <row r="440">
      <c r="A440" s="353" t="s">
        <v>67</v>
      </c>
      <c r="B440" s="168"/>
      <c r="C440" s="182"/>
      <c r="D440" s="183"/>
      <c r="E440" s="354"/>
      <c r="F440" s="171"/>
      <c r="G440" s="357"/>
      <c r="H440" s="358"/>
      <c r="I440" s="359"/>
    </row>
    <row r="441">
      <c r="A441" s="353" t="s">
        <v>67</v>
      </c>
      <c r="B441" s="168"/>
      <c r="C441" s="182"/>
      <c r="D441" s="183"/>
      <c r="E441" s="354"/>
      <c r="F441" s="171"/>
      <c r="G441" s="357"/>
      <c r="H441" s="358"/>
      <c r="I441" s="359"/>
    </row>
    <row r="442">
      <c r="A442" s="353" t="s">
        <v>67</v>
      </c>
      <c r="B442" s="168"/>
      <c r="C442" s="182"/>
      <c r="D442" s="183"/>
      <c r="E442" s="354"/>
      <c r="F442" s="171"/>
      <c r="G442" s="357"/>
      <c r="H442" s="358"/>
      <c r="I442" s="359"/>
    </row>
    <row r="443">
      <c r="A443" s="353" t="s">
        <v>67</v>
      </c>
      <c r="B443" s="168"/>
      <c r="C443" s="182"/>
      <c r="D443" s="183"/>
      <c r="E443" s="354"/>
      <c r="F443" s="171"/>
      <c r="G443" s="357"/>
      <c r="H443" s="358"/>
      <c r="I443" s="359"/>
    </row>
    <row r="444">
      <c r="A444" s="353" t="s">
        <v>67</v>
      </c>
      <c r="B444" s="168"/>
      <c r="C444" s="182"/>
      <c r="D444" s="183"/>
      <c r="E444" s="354"/>
      <c r="F444" s="171"/>
      <c r="G444" s="357"/>
      <c r="H444" s="358"/>
      <c r="I444" s="359"/>
    </row>
    <row r="445">
      <c r="A445" s="353" t="s">
        <v>67</v>
      </c>
      <c r="B445" s="168"/>
      <c r="C445" s="182"/>
      <c r="D445" s="183"/>
      <c r="E445" s="354"/>
      <c r="F445" s="171"/>
      <c r="G445" s="357"/>
      <c r="H445" s="358"/>
      <c r="I445" s="359"/>
    </row>
    <row r="446">
      <c r="A446" s="353" t="s">
        <v>67</v>
      </c>
      <c r="B446" s="168"/>
      <c r="C446" s="182"/>
      <c r="D446" s="183"/>
      <c r="E446" s="354"/>
      <c r="F446" s="171"/>
      <c r="G446" s="357"/>
      <c r="H446" s="358"/>
      <c r="I446" s="359"/>
    </row>
    <row r="447">
      <c r="A447" s="353" t="s">
        <v>67</v>
      </c>
      <c r="B447" s="168"/>
      <c r="C447" s="182"/>
      <c r="D447" s="183"/>
      <c r="E447" s="354"/>
      <c r="F447" s="171"/>
      <c r="G447" s="171"/>
      <c r="H447" s="357"/>
      <c r="I447" s="178"/>
    </row>
    <row r="448">
      <c r="A448" s="353" t="s">
        <v>67</v>
      </c>
      <c r="B448" s="168"/>
      <c r="C448" s="182"/>
      <c r="D448" s="183"/>
      <c r="E448" s="354"/>
      <c r="F448" s="171"/>
      <c r="G448" s="171"/>
      <c r="H448" s="357"/>
      <c r="I448" s="178"/>
    </row>
    <row r="449">
      <c r="A449" s="353" t="s">
        <v>67</v>
      </c>
      <c r="B449" s="168"/>
      <c r="C449" s="182"/>
      <c r="D449" s="183"/>
      <c r="E449" s="354"/>
      <c r="F449" s="171"/>
      <c r="G449" s="171"/>
      <c r="H449" s="357"/>
      <c r="I449" s="178"/>
    </row>
    <row r="450">
      <c r="A450" s="353" t="s">
        <v>67</v>
      </c>
      <c r="B450" s="168"/>
      <c r="C450" s="182"/>
      <c r="D450" s="183"/>
      <c r="E450" s="354"/>
      <c r="F450" s="171"/>
      <c r="G450" s="171"/>
      <c r="H450" s="357"/>
      <c r="I450" s="178"/>
    </row>
    <row r="451">
      <c r="A451" s="353" t="s">
        <v>67</v>
      </c>
      <c r="B451" s="168"/>
      <c r="C451" s="182"/>
      <c r="D451" s="183"/>
      <c r="E451" s="354"/>
      <c r="F451" s="171"/>
      <c r="G451" s="171"/>
      <c r="H451" s="357"/>
      <c r="I451" s="178"/>
    </row>
    <row r="452">
      <c r="A452" s="353" t="s">
        <v>67</v>
      </c>
      <c r="B452" s="168"/>
      <c r="C452" s="182"/>
      <c r="D452" s="183"/>
      <c r="E452" s="354"/>
      <c r="F452" s="171"/>
      <c r="G452" s="171"/>
      <c r="H452" s="357"/>
      <c r="I452" s="178"/>
    </row>
    <row r="453">
      <c r="A453" s="353" t="s">
        <v>67</v>
      </c>
      <c r="B453" s="168"/>
      <c r="C453" s="182"/>
      <c r="D453" s="183"/>
      <c r="E453" s="354"/>
      <c r="F453" s="171"/>
      <c r="G453" s="171"/>
      <c r="H453" s="357"/>
      <c r="I453" s="178"/>
    </row>
    <row r="454">
      <c r="A454" s="353" t="s">
        <v>67</v>
      </c>
      <c r="B454" s="168"/>
      <c r="C454" s="182"/>
      <c r="D454" s="183"/>
      <c r="E454" s="354"/>
      <c r="F454" s="171"/>
      <c r="G454" s="171"/>
      <c r="H454" s="357"/>
      <c r="I454" s="178"/>
    </row>
    <row r="455">
      <c r="A455" s="353" t="s">
        <v>67</v>
      </c>
      <c r="B455" s="168"/>
      <c r="C455" s="182"/>
      <c r="D455" s="183"/>
      <c r="E455" s="354"/>
      <c r="F455" s="171"/>
      <c r="G455" s="171"/>
      <c r="H455" s="357"/>
      <c r="I455" s="178"/>
    </row>
    <row r="456">
      <c r="A456" s="353" t="s">
        <v>67</v>
      </c>
      <c r="B456" s="168"/>
      <c r="C456" s="182"/>
      <c r="D456" s="183"/>
      <c r="E456" s="354"/>
      <c r="F456" s="171"/>
      <c r="G456" s="171"/>
      <c r="H456" s="357"/>
      <c r="I456" s="178"/>
    </row>
    <row r="457">
      <c r="A457" s="353" t="s">
        <v>67</v>
      </c>
      <c r="B457" s="168"/>
      <c r="C457" s="182"/>
      <c r="D457" s="183"/>
      <c r="E457" s="354"/>
      <c r="F457" s="171"/>
      <c r="G457" s="171"/>
      <c r="H457" s="357"/>
      <c r="I457" s="178"/>
    </row>
    <row r="458">
      <c r="A458" s="353" t="s">
        <v>67</v>
      </c>
      <c r="B458" s="168"/>
      <c r="C458" s="182"/>
      <c r="D458" s="183"/>
      <c r="E458" s="354"/>
      <c r="F458" s="171"/>
      <c r="G458" s="171"/>
      <c r="H458" s="357"/>
      <c r="I458" s="178"/>
    </row>
    <row r="459">
      <c r="A459" s="353" t="s">
        <v>67</v>
      </c>
      <c r="B459" s="168"/>
      <c r="C459" s="182"/>
      <c r="D459" s="183"/>
      <c r="E459" s="354"/>
      <c r="F459" s="171"/>
      <c r="G459" s="171"/>
      <c r="H459" s="357"/>
      <c r="I459" s="178"/>
    </row>
    <row r="460">
      <c r="A460" s="353" t="s">
        <v>67</v>
      </c>
      <c r="B460" s="168"/>
      <c r="C460" s="182"/>
      <c r="D460" s="183"/>
      <c r="E460" s="354"/>
      <c r="F460" s="171"/>
      <c r="G460" s="171"/>
      <c r="H460" s="357"/>
      <c r="I460" s="178"/>
    </row>
    <row r="461">
      <c r="A461" s="353" t="s">
        <v>67</v>
      </c>
      <c r="B461" s="168"/>
      <c r="C461" s="182"/>
      <c r="D461" s="183"/>
      <c r="E461" s="354"/>
      <c r="F461" s="171"/>
      <c r="G461" s="171"/>
      <c r="H461" s="357"/>
      <c r="I461" s="178"/>
    </row>
    <row r="462">
      <c r="A462" s="353" t="s">
        <v>67</v>
      </c>
      <c r="B462" s="168"/>
      <c r="C462" s="182"/>
      <c r="D462" s="183"/>
      <c r="E462" s="354"/>
      <c r="F462" s="171"/>
      <c r="G462" s="171"/>
      <c r="H462" s="357"/>
      <c r="I462" s="178"/>
    </row>
    <row r="463">
      <c r="A463" s="360" t="s">
        <v>67</v>
      </c>
      <c r="B463" s="196"/>
      <c r="C463" s="197"/>
      <c r="D463" s="198"/>
      <c r="E463" s="361"/>
      <c r="F463" s="200"/>
      <c r="G463" s="200"/>
      <c r="H463" s="362"/>
      <c r="I463" s="363"/>
    </row>
    <row r="465">
      <c r="A465" s="351" t="s">
        <v>68</v>
      </c>
      <c r="B465" s="158" t="s">
        <v>95</v>
      </c>
      <c r="C465" s="191">
        <v>44537.0</v>
      </c>
      <c r="D465" s="192" t="s">
        <v>32</v>
      </c>
      <c r="E465" s="352">
        <v>50.0</v>
      </c>
      <c r="F465" s="162" t="s">
        <v>14</v>
      </c>
      <c r="G465" s="162" t="s">
        <v>32</v>
      </c>
      <c r="H465" s="162" t="s">
        <v>16</v>
      </c>
      <c r="I465" s="194" t="s">
        <v>34</v>
      </c>
    </row>
    <row r="466">
      <c r="A466" s="353" t="s">
        <v>68</v>
      </c>
      <c r="B466" s="168" t="s">
        <v>89</v>
      </c>
      <c r="C466" s="182">
        <v>44539.0</v>
      </c>
      <c r="D466" s="183" t="s">
        <v>24</v>
      </c>
      <c r="E466" s="354">
        <v>20.0</v>
      </c>
      <c r="F466" s="171" t="s">
        <v>14</v>
      </c>
      <c r="G466" s="171" t="s">
        <v>24</v>
      </c>
      <c r="H466" s="355" t="s">
        <v>16</v>
      </c>
      <c r="I466" s="356" t="s">
        <v>26</v>
      </c>
    </row>
    <row r="467">
      <c r="A467" s="353" t="s">
        <v>68</v>
      </c>
      <c r="B467" s="168" t="s">
        <v>95</v>
      </c>
      <c r="C467" s="182">
        <v>44543.0</v>
      </c>
      <c r="D467" s="183" t="s">
        <v>333</v>
      </c>
      <c r="E467" s="354">
        <v>39.0</v>
      </c>
      <c r="F467" s="171" t="s">
        <v>14</v>
      </c>
      <c r="G467" s="171" t="s">
        <v>14</v>
      </c>
      <c r="H467" s="355" t="s">
        <v>16</v>
      </c>
      <c r="I467" s="356" t="s">
        <v>19</v>
      </c>
    </row>
    <row r="468">
      <c r="A468" s="353" t="s">
        <v>68</v>
      </c>
      <c r="B468" s="168" t="s">
        <v>95</v>
      </c>
      <c r="C468" s="182">
        <v>44543.0</v>
      </c>
      <c r="D468" s="183" t="s">
        <v>334</v>
      </c>
      <c r="E468" s="354">
        <v>150.0</v>
      </c>
      <c r="F468" s="171" t="s">
        <v>14</v>
      </c>
      <c r="G468" s="171" t="s">
        <v>14</v>
      </c>
      <c r="H468" s="355" t="s">
        <v>16</v>
      </c>
      <c r="I468" s="356" t="s">
        <v>19</v>
      </c>
    </row>
    <row r="469">
      <c r="A469" s="353" t="s">
        <v>68</v>
      </c>
      <c r="B469" s="168" t="s">
        <v>95</v>
      </c>
      <c r="C469" s="182">
        <v>44561.0</v>
      </c>
      <c r="D469" s="183" t="s">
        <v>95</v>
      </c>
      <c r="E469" s="354">
        <v>189.33</v>
      </c>
      <c r="F469" s="171" t="s">
        <v>14</v>
      </c>
      <c r="G469" s="171" t="s">
        <v>14</v>
      </c>
      <c r="H469" s="355" t="s">
        <v>19</v>
      </c>
      <c r="I469" s="356" t="s">
        <v>16</v>
      </c>
    </row>
    <row r="470">
      <c r="A470" s="353" t="s">
        <v>68</v>
      </c>
      <c r="B470" s="168"/>
      <c r="C470" s="182"/>
      <c r="D470" s="183"/>
      <c r="E470" s="354"/>
      <c r="F470" s="171"/>
      <c r="G470" s="171"/>
      <c r="H470" s="355"/>
      <c r="I470" s="356"/>
    </row>
    <row r="471">
      <c r="A471" s="353" t="s">
        <v>68</v>
      </c>
      <c r="B471" s="168"/>
      <c r="C471" s="182"/>
      <c r="D471" s="183"/>
      <c r="E471" s="354"/>
      <c r="F471" s="171"/>
      <c r="G471" s="171"/>
      <c r="H471" s="355"/>
      <c r="I471" s="356"/>
    </row>
    <row r="472">
      <c r="A472" s="353" t="s">
        <v>68</v>
      </c>
      <c r="B472" s="168"/>
      <c r="C472" s="182"/>
      <c r="D472" s="183"/>
      <c r="E472" s="354"/>
      <c r="F472" s="171"/>
      <c r="G472" s="171"/>
      <c r="H472" s="358"/>
      <c r="I472" s="359"/>
    </row>
    <row r="473">
      <c r="A473" s="353" t="s">
        <v>68</v>
      </c>
      <c r="B473" s="168"/>
      <c r="C473" s="182"/>
      <c r="D473" s="183"/>
      <c r="E473" s="354"/>
      <c r="F473" s="171"/>
      <c r="G473" s="171"/>
      <c r="H473" s="355"/>
      <c r="I473" s="356"/>
    </row>
    <row r="474">
      <c r="A474" s="353" t="s">
        <v>68</v>
      </c>
      <c r="B474" s="168"/>
      <c r="C474" s="182"/>
      <c r="D474" s="183"/>
      <c r="E474" s="354"/>
      <c r="F474" s="171"/>
      <c r="G474" s="171"/>
      <c r="H474" s="355"/>
      <c r="I474" s="356"/>
    </row>
    <row r="475">
      <c r="A475" s="353" t="s">
        <v>68</v>
      </c>
      <c r="B475" s="168"/>
      <c r="C475" s="182"/>
      <c r="D475" s="183"/>
      <c r="E475" s="354"/>
      <c r="F475" s="171"/>
      <c r="G475" s="171"/>
      <c r="H475" s="355"/>
      <c r="I475" s="356"/>
    </row>
    <row r="476">
      <c r="A476" s="353" t="s">
        <v>68</v>
      </c>
      <c r="B476" s="168"/>
      <c r="C476" s="182"/>
      <c r="D476" s="183"/>
      <c r="E476" s="354"/>
      <c r="F476" s="171"/>
      <c r="G476" s="357"/>
      <c r="H476" s="358"/>
      <c r="I476" s="359"/>
    </row>
    <row r="477">
      <c r="A477" s="353" t="s">
        <v>68</v>
      </c>
      <c r="B477" s="168"/>
      <c r="C477" s="182"/>
      <c r="D477" s="183"/>
      <c r="E477" s="354"/>
      <c r="F477" s="171"/>
      <c r="G477" s="357"/>
      <c r="H477" s="358"/>
      <c r="I477" s="359"/>
    </row>
    <row r="478">
      <c r="A478" s="353" t="s">
        <v>68</v>
      </c>
      <c r="B478" s="168"/>
      <c r="C478" s="182"/>
      <c r="D478" s="183"/>
      <c r="E478" s="354"/>
      <c r="F478" s="171"/>
      <c r="G478" s="357"/>
      <c r="H478" s="358"/>
      <c r="I478" s="359"/>
    </row>
    <row r="479">
      <c r="A479" s="353" t="s">
        <v>68</v>
      </c>
      <c r="B479" s="168"/>
      <c r="C479" s="182"/>
      <c r="D479" s="183"/>
      <c r="E479" s="354"/>
      <c r="F479" s="171"/>
      <c r="G479" s="357"/>
      <c r="H479" s="358"/>
      <c r="I479" s="359"/>
    </row>
    <row r="480">
      <c r="A480" s="353" t="s">
        <v>68</v>
      </c>
      <c r="B480" s="168"/>
      <c r="C480" s="182"/>
      <c r="D480" s="183"/>
      <c r="E480" s="354"/>
      <c r="F480" s="171"/>
      <c r="G480" s="357"/>
      <c r="H480" s="358"/>
      <c r="I480" s="359"/>
    </row>
    <row r="481">
      <c r="A481" s="353" t="s">
        <v>68</v>
      </c>
      <c r="B481" s="168"/>
      <c r="C481" s="182"/>
      <c r="D481" s="183"/>
      <c r="E481" s="354"/>
      <c r="F481" s="171"/>
      <c r="G481" s="357"/>
      <c r="H481" s="358"/>
      <c r="I481" s="359"/>
    </row>
    <row r="482">
      <c r="A482" s="353" t="s">
        <v>68</v>
      </c>
      <c r="B482" s="168"/>
      <c r="C482" s="182"/>
      <c r="D482" s="183"/>
      <c r="E482" s="354"/>
      <c r="F482" s="171"/>
      <c r="G482" s="357"/>
      <c r="H482" s="358"/>
      <c r="I482" s="359"/>
    </row>
    <row r="483">
      <c r="A483" s="353" t="s">
        <v>68</v>
      </c>
      <c r="B483" s="168"/>
      <c r="C483" s="182"/>
      <c r="D483" s="183"/>
      <c r="E483" s="354"/>
      <c r="F483" s="171"/>
      <c r="G483" s="357"/>
      <c r="H483" s="358"/>
      <c r="I483" s="359"/>
    </row>
    <row r="484">
      <c r="A484" s="353" t="s">
        <v>68</v>
      </c>
      <c r="B484" s="168"/>
      <c r="C484" s="182"/>
      <c r="D484" s="183"/>
      <c r="E484" s="354"/>
      <c r="F484" s="171"/>
      <c r="G484" s="357"/>
      <c r="H484" s="358"/>
      <c r="I484" s="359"/>
    </row>
    <row r="485">
      <c r="A485" s="353" t="s">
        <v>68</v>
      </c>
      <c r="B485" s="168"/>
      <c r="C485" s="182"/>
      <c r="D485" s="183"/>
      <c r="E485" s="354"/>
      <c r="F485" s="171"/>
      <c r="G485" s="357"/>
      <c r="H485" s="358"/>
      <c r="I485" s="359"/>
    </row>
    <row r="486">
      <c r="A486" s="353" t="s">
        <v>68</v>
      </c>
      <c r="B486" s="168"/>
      <c r="C486" s="182"/>
      <c r="D486" s="183"/>
      <c r="E486" s="354"/>
      <c r="F486" s="171"/>
      <c r="G486" s="357"/>
      <c r="H486" s="358"/>
      <c r="I486" s="359"/>
    </row>
    <row r="487">
      <c r="A487" s="353" t="s">
        <v>68</v>
      </c>
      <c r="B487" s="168"/>
      <c r="C487" s="182"/>
      <c r="D487" s="183"/>
      <c r="E487" s="354"/>
      <c r="F487" s="171"/>
      <c r="G487" s="357"/>
      <c r="H487" s="358"/>
      <c r="I487" s="359"/>
    </row>
    <row r="488">
      <c r="A488" s="353" t="s">
        <v>68</v>
      </c>
      <c r="B488" s="168"/>
      <c r="C488" s="182"/>
      <c r="D488" s="183"/>
      <c r="E488" s="354"/>
      <c r="F488" s="171"/>
      <c r="G488" s="357"/>
      <c r="H488" s="358"/>
      <c r="I488" s="359"/>
    </row>
    <row r="489">
      <c r="A489" s="353" t="s">
        <v>68</v>
      </c>
      <c r="B489" s="168"/>
      <c r="C489" s="182"/>
      <c r="D489" s="183"/>
      <c r="E489" s="354"/>
      <c r="F489" s="171"/>
      <c r="G489" s="171"/>
      <c r="H489" s="357"/>
      <c r="I489" s="178"/>
    </row>
    <row r="490">
      <c r="A490" s="353" t="s">
        <v>68</v>
      </c>
      <c r="B490" s="168"/>
      <c r="C490" s="182"/>
      <c r="D490" s="183"/>
      <c r="E490" s="354"/>
      <c r="F490" s="171"/>
      <c r="G490" s="171"/>
      <c r="H490" s="357"/>
      <c r="I490" s="178"/>
    </row>
    <row r="491">
      <c r="A491" s="353" t="s">
        <v>68</v>
      </c>
      <c r="B491" s="168"/>
      <c r="C491" s="182"/>
      <c r="D491" s="183"/>
      <c r="E491" s="354"/>
      <c r="F491" s="171"/>
      <c r="G491" s="171"/>
      <c r="H491" s="357"/>
      <c r="I491" s="178"/>
    </row>
    <row r="492">
      <c r="A492" s="353" t="s">
        <v>68</v>
      </c>
      <c r="B492" s="168"/>
      <c r="C492" s="182"/>
      <c r="D492" s="183"/>
      <c r="E492" s="354"/>
      <c r="F492" s="171"/>
      <c r="G492" s="171"/>
      <c r="H492" s="357"/>
      <c r="I492" s="178"/>
    </row>
    <row r="493">
      <c r="A493" s="353" t="s">
        <v>68</v>
      </c>
      <c r="B493" s="168"/>
      <c r="C493" s="182"/>
      <c r="D493" s="183"/>
      <c r="E493" s="354"/>
      <c r="F493" s="171"/>
      <c r="G493" s="171"/>
      <c r="H493" s="357"/>
      <c r="I493" s="178"/>
    </row>
    <row r="494">
      <c r="A494" s="353" t="s">
        <v>68</v>
      </c>
      <c r="B494" s="168"/>
      <c r="C494" s="182"/>
      <c r="D494" s="183"/>
      <c r="E494" s="354"/>
      <c r="F494" s="171"/>
      <c r="G494" s="171"/>
      <c r="H494" s="357"/>
      <c r="I494" s="178"/>
    </row>
    <row r="495">
      <c r="A495" s="353" t="s">
        <v>68</v>
      </c>
      <c r="B495" s="168"/>
      <c r="C495" s="182"/>
      <c r="D495" s="183"/>
      <c r="E495" s="354"/>
      <c r="F495" s="171"/>
      <c r="G495" s="171"/>
      <c r="H495" s="357"/>
      <c r="I495" s="178"/>
    </row>
    <row r="496">
      <c r="A496" s="353" t="s">
        <v>68</v>
      </c>
      <c r="B496" s="168"/>
      <c r="C496" s="182"/>
      <c r="D496" s="183"/>
      <c r="E496" s="354"/>
      <c r="F496" s="171"/>
      <c r="G496" s="171"/>
      <c r="H496" s="357"/>
      <c r="I496" s="178"/>
    </row>
    <row r="497">
      <c r="A497" s="353" t="s">
        <v>68</v>
      </c>
      <c r="B497" s="168"/>
      <c r="C497" s="182"/>
      <c r="D497" s="183"/>
      <c r="E497" s="354"/>
      <c r="F497" s="171"/>
      <c r="G497" s="171"/>
      <c r="H497" s="357"/>
      <c r="I497" s="178"/>
    </row>
    <row r="498">
      <c r="A498" s="353" t="s">
        <v>68</v>
      </c>
      <c r="B498" s="168"/>
      <c r="C498" s="182"/>
      <c r="D498" s="183"/>
      <c r="E498" s="354"/>
      <c r="F498" s="171"/>
      <c r="G498" s="171"/>
      <c r="H498" s="357"/>
      <c r="I498" s="178"/>
    </row>
    <row r="499">
      <c r="A499" s="353" t="s">
        <v>68</v>
      </c>
      <c r="B499" s="168"/>
      <c r="C499" s="182"/>
      <c r="D499" s="183"/>
      <c r="E499" s="354"/>
      <c r="F499" s="171"/>
      <c r="G499" s="171"/>
      <c r="H499" s="357"/>
      <c r="I499" s="178"/>
    </row>
    <row r="500">
      <c r="A500" s="353" t="s">
        <v>68</v>
      </c>
      <c r="B500" s="168"/>
      <c r="C500" s="182"/>
      <c r="D500" s="183"/>
      <c r="E500" s="354"/>
      <c r="F500" s="171"/>
      <c r="G500" s="171"/>
      <c r="H500" s="357"/>
      <c r="I500" s="178"/>
    </row>
    <row r="501">
      <c r="A501" s="353" t="s">
        <v>68</v>
      </c>
      <c r="B501" s="168"/>
      <c r="C501" s="182"/>
      <c r="D501" s="183"/>
      <c r="E501" s="354"/>
      <c r="F501" s="171"/>
      <c r="G501" s="171"/>
      <c r="H501" s="357"/>
      <c r="I501" s="178"/>
    </row>
    <row r="502">
      <c r="A502" s="353" t="s">
        <v>68</v>
      </c>
      <c r="B502" s="168"/>
      <c r="C502" s="182"/>
      <c r="D502" s="183"/>
      <c r="E502" s="354"/>
      <c r="F502" s="171"/>
      <c r="G502" s="171"/>
      <c r="H502" s="357"/>
      <c r="I502" s="178"/>
    </row>
    <row r="503">
      <c r="A503" s="353" t="s">
        <v>68</v>
      </c>
      <c r="B503" s="168"/>
      <c r="C503" s="182"/>
      <c r="D503" s="183"/>
      <c r="E503" s="354"/>
      <c r="F503" s="171"/>
      <c r="G503" s="171"/>
      <c r="H503" s="357"/>
      <c r="I503" s="178"/>
    </row>
    <row r="504">
      <c r="A504" s="353" t="s">
        <v>68</v>
      </c>
      <c r="B504" s="168"/>
      <c r="C504" s="182"/>
      <c r="D504" s="183"/>
      <c r="E504" s="354"/>
      <c r="F504" s="171"/>
      <c r="G504" s="171"/>
      <c r="H504" s="357"/>
      <c r="I504" s="178"/>
    </row>
    <row r="505">
      <c r="A505" s="360" t="s">
        <v>68</v>
      </c>
      <c r="B505" s="196"/>
      <c r="C505" s="197"/>
      <c r="D505" s="198"/>
      <c r="E505" s="361"/>
      <c r="F505" s="200"/>
      <c r="G505" s="200"/>
      <c r="H505" s="362"/>
      <c r="I505" s="363"/>
    </row>
  </sheetData>
  <mergeCells count="1">
    <mergeCell ref="A1:I1"/>
  </mergeCells>
  <dataValidations>
    <dataValidation type="list" allowBlank="1" sqref="B3:B43 B45:B85 B87:B127 B129:B169 B171:B211 B213:B253 B255:B295 B297:B337 B339:B379 B381:B421 B423:B463 B465:B505">
      <formula1>Tabelas!$H$13:$H$52</formula1>
    </dataValidation>
    <dataValidation type="list" allowBlank="1" sqref="F3:G43 F45:G85 F87:G127 F129:G169 F171:G211 F213:G253 F255:G295 F297:G337 F339:G379 F381:G421 F423:G463 F465:G505">
      <formula1>Inicio!$B$6:$B$25</formula1>
    </dataValidation>
    <dataValidation type="list" allowBlank="1" sqref="H3:I43 H45:I85 H87:I127 H129:I169 H171:I211 H213:I253 H255:I295 H297:I337 H339:I379 H381:I421 H423:I463 H465:I505">
      <formula1>Inicio!$D$6:$D$25</formula1>
    </dataValidation>
  </dataValidations>
  <drawing r:id="rId1"/>
  <tableParts count="12"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5.25"/>
    <col customWidth="1" min="3" max="3" width="10.25"/>
    <col customWidth="1" min="4" max="4" width="9.13"/>
    <col customWidth="1" min="5" max="5" width="10.13"/>
    <col customWidth="1" min="6" max="11" width="9.13"/>
    <col customWidth="1" min="12" max="14" width="10.5"/>
    <col customWidth="1" min="15" max="25" width="9.13"/>
    <col customWidth="1" min="26" max="26" width="8.75"/>
    <col customWidth="1" min="27" max="27" width="8.63"/>
    <col customWidth="1" min="28" max="28" width="7.75"/>
  </cols>
  <sheetData>
    <row r="1">
      <c r="A1" s="368"/>
      <c r="B1" s="368" t="s">
        <v>335</v>
      </c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  <c r="AB1" s="21"/>
      <c r="AC1" s="21"/>
      <c r="AD1" s="21"/>
      <c r="AE1" s="370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</row>
    <row r="2">
      <c r="A2" s="368"/>
      <c r="D2" s="371">
        <f>Inicio!$B$2</f>
        <v>2021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372"/>
      <c r="P2" s="371">
        <f>D2+1</f>
        <v>2022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372"/>
      <c r="AB2" s="21"/>
      <c r="AC2" s="373"/>
      <c r="AD2" s="373"/>
      <c r="AE2" s="374"/>
      <c r="AF2" s="373"/>
      <c r="AG2" s="373"/>
      <c r="AH2" s="373"/>
      <c r="AI2" s="373"/>
      <c r="AJ2" s="373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</row>
    <row r="3">
      <c r="A3" s="375"/>
      <c r="B3" s="376"/>
      <c r="C3" s="377"/>
      <c r="D3" s="378" t="s">
        <v>57</v>
      </c>
      <c r="E3" s="378" t="s">
        <v>58</v>
      </c>
      <c r="F3" s="378" t="s">
        <v>59</v>
      </c>
      <c r="G3" s="378" t="s">
        <v>60</v>
      </c>
      <c r="H3" s="378" t="s">
        <v>61</v>
      </c>
      <c r="I3" s="378" t="s">
        <v>62</v>
      </c>
      <c r="J3" s="378" t="s">
        <v>63</v>
      </c>
      <c r="K3" s="378" t="s">
        <v>64</v>
      </c>
      <c r="L3" s="378" t="s">
        <v>65</v>
      </c>
      <c r="M3" s="378" t="s">
        <v>66</v>
      </c>
      <c r="N3" s="378" t="s">
        <v>67</v>
      </c>
      <c r="O3" s="378" t="s">
        <v>68</v>
      </c>
      <c r="P3" s="378" t="s">
        <v>57</v>
      </c>
      <c r="Q3" s="378" t="s">
        <v>58</v>
      </c>
      <c r="R3" s="378" t="s">
        <v>59</v>
      </c>
      <c r="S3" s="378" t="s">
        <v>60</v>
      </c>
      <c r="T3" s="378" t="s">
        <v>61</v>
      </c>
      <c r="U3" s="378" t="s">
        <v>62</v>
      </c>
      <c r="V3" s="378" t="s">
        <v>63</v>
      </c>
      <c r="W3" s="378" t="s">
        <v>64</v>
      </c>
      <c r="X3" s="378" t="s">
        <v>65</v>
      </c>
      <c r="Y3" s="378" t="s">
        <v>66</v>
      </c>
      <c r="Z3" s="378" t="s">
        <v>67</v>
      </c>
      <c r="AA3" s="378" t="s">
        <v>68</v>
      </c>
      <c r="AB3" s="21"/>
      <c r="AC3" s="373" t="s">
        <v>336</v>
      </c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</row>
    <row r="4">
      <c r="A4" s="379"/>
      <c r="B4" s="380" t="s">
        <v>69</v>
      </c>
      <c r="C4" s="381" t="s">
        <v>337</v>
      </c>
      <c r="D4" s="382">
        <f t="shared" ref="D4:AA4" si="1">SUM(D28:D176)</f>
        <v>239.78</v>
      </c>
      <c r="E4" s="382">
        <f t="shared" si="1"/>
        <v>406.12</v>
      </c>
      <c r="F4" s="382">
        <f t="shared" si="1"/>
        <v>1248.71</v>
      </c>
      <c r="G4" s="382">
        <f t="shared" si="1"/>
        <v>595.97</v>
      </c>
      <c r="H4" s="382">
        <f t="shared" si="1"/>
        <v>541.14</v>
      </c>
      <c r="I4" s="382">
        <f t="shared" si="1"/>
        <v>575.95</v>
      </c>
      <c r="J4" s="382">
        <f t="shared" si="1"/>
        <v>569.14</v>
      </c>
      <c r="K4" s="382">
        <f t="shared" si="1"/>
        <v>477.14</v>
      </c>
      <c r="L4" s="382">
        <f t="shared" si="1"/>
        <v>1485.86</v>
      </c>
      <c r="M4" s="382">
        <f t="shared" si="1"/>
        <v>1183.41</v>
      </c>
      <c r="N4" s="382">
        <f t="shared" si="1"/>
        <v>1408.43</v>
      </c>
      <c r="O4" s="382">
        <f t="shared" si="1"/>
        <v>1162.52</v>
      </c>
      <c r="P4" s="382">
        <f t="shared" si="1"/>
        <v>1054.71</v>
      </c>
      <c r="Q4" s="382">
        <f t="shared" si="1"/>
        <v>203.38</v>
      </c>
      <c r="R4" s="382">
        <f t="shared" si="1"/>
        <v>203.38</v>
      </c>
      <c r="S4" s="382">
        <f t="shared" si="1"/>
        <v>203.38</v>
      </c>
      <c r="T4" s="382">
        <f t="shared" si="1"/>
        <v>117.45</v>
      </c>
      <c r="U4" s="382">
        <f t="shared" si="1"/>
        <v>117.45</v>
      </c>
      <c r="V4" s="382">
        <f t="shared" si="1"/>
        <v>117.45</v>
      </c>
      <c r="W4" s="382">
        <f t="shared" si="1"/>
        <v>117.45</v>
      </c>
      <c r="X4" s="382">
        <f t="shared" si="1"/>
        <v>117.45</v>
      </c>
      <c r="Y4" s="382">
        <f t="shared" si="1"/>
        <v>117.45</v>
      </c>
      <c r="Z4" s="382">
        <f t="shared" si="1"/>
        <v>117.45</v>
      </c>
      <c r="AA4" s="383">
        <f t="shared" si="1"/>
        <v>117.45</v>
      </c>
      <c r="AB4" s="21"/>
      <c r="AC4" s="384" t="s">
        <v>127</v>
      </c>
      <c r="AD4" s="385" t="s">
        <v>223</v>
      </c>
      <c r="AE4" s="386" t="s">
        <v>129</v>
      </c>
      <c r="AF4" s="384" t="s">
        <v>130</v>
      </c>
      <c r="AG4" s="387" t="s">
        <v>224</v>
      </c>
      <c r="AH4" s="385" t="s">
        <v>225</v>
      </c>
      <c r="AI4" s="387" t="s">
        <v>226</v>
      </c>
      <c r="AJ4" s="388" t="s">
        <v>227</v>
      </c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</row>
    <row r="5">
      <c r="A5" s="389"/>
      <c r="B5" s="390">
        <f t="shared" ref="B5:B24" si="2">if(isblank($C5),"",sum($D5:$AA5))</f>
        <v>5351.68</v>
      </c>
      <c r="C5" s="391" t="str">
        <f>IFERROR(__xludf.DUMMYFUNCTION("unique(C28:C83)"),"Nubank")</f>
        <v>Nubank</v>
      </c>
      <c r="D5" s="392">
        <f>IFERROR(__xludf.DUMMYFUNCTION("if(isblank($C5),"""",sum(query($C$28:$AA$176,""select D where C = '""&amp;$C5&amp;""'"",0)))"),239.78)</f>
        <v>239.78</v>
      </c>
      <c r="E5" s="392">
        <f>IFERROR(__xludf.DUMMYFUNCTION("if(isblank($C5),"""",sum(query($C$28:$AA$176,""select E where C = '""&amp;$C5&amp;""'"",0)))"),406.12)</f>
        <v>406.12</v>
      </c>
      <c r="F5" s="392">
        <f>IFERROR(__xludf.DUMMYFUNCTION("if(isblank($C5),"""",sum(query($C$28:$AA$176,""select F where C = '""&amp;$C5&amp;""'"",0)))"),506.02000000000004)</f>
        <v>506.02</v>
      </c>
      <c r="G5" s="392">
        <f>IFERROR(__xludf.DUMMYFUNCTION("if(isblank($C5),"""",sum(query($C$28:$AA$176,""select G where C = '""&amp;$C5&amp;""'"",0)))"),580.97)</f>
        <v>580.97</v>
      </c>
      <c r="H5" s="392">
        <f>IFERROR(__xludf.DUMMYFUNCTION("if(isblank($C5),"""",sum(query($C$28:$AA$176,""select H where C = '""&amp;$C5&amp;""'"",0)))"),423.69000000000005)</f>
        <v>423.69</v>
      </c>
      <c r="I5" s="392">
        <f>IFERROR(__xludf.DUMMYFUNCTION("if(isblank($C5),"""",sum(query($C$28:$AA$176,""select I where C = '""&amp;$C5&amp;""'"",0)))"),414.64000000000004)</f>
        <v>414.64</v>
      </c>
      <c r="J5" s="392">
        <f>IFERROR(__xludf.DUMMYFUNCTION("if(isblank($C5),"""",sum(query($C$28:$AA$176,""select J where C = '""&amp;$C5&amp;""'"",0)))"),356.69000000000005)</f>
        <v>356.69</v>
      </c>
      <c r="K5" s="392">
        <f>IFERROR(__xludf.DUMMYFUNCTION("if(isblank($C5),"""",sum(query($C$28:$AA$176,""select K where C = '""&amp;$C5&amp;""'"",0)))"),359.69000000000005)</f>
        <v>359.69</v>
      </c>
      <c r="L5" s="392">
        <f>IFERROR(__xludf.DUMMYFUNCTION("if(isblank($C5),"""",sum(query($C$28:$AA$176,""select L where C = '""&amp;$C5&amp;""'"",0)))"),600.14)</f>
        <v>600.14</v>
      </c>
      <c r="M5" s="392">
        <f>IFERROR(__xludf.DUMMYFUNCTION("if(isblank($C5),"""",sum(query($C$28:$AA$176,""select M where C = '""&amp;$C5&amp;""'"",0)))"),352.08000000000004)</f>
        <v>352.08</v>
      </c>
      <c r="N5" s="392">
        <f>IFERROR(__xludf.DUMMYFUNCTION("if(isblank($C5),"""",sum(query($C$28:$AA$176,""select N where C = '""&amp;$C5&amp;""'"",0)))"),287.54)</f>
        <v>287.54</v>
      </c>
      <c r="O5" s="392">
        <f>IFERROR(__xludf.DUMMYFUNCTION("if(isblank($C5),"""",sum(query($C$28:$AA$176,""select O where C = '""&amp;$C5&amp;""'"",0)))"),320.7)</f>
        <v>320.7</v>
      </c>
      <c r="P5" s="392">
        <f>IFERROR(__xludf.DUMMYFUNCTION("if(isblank($C5),"""",sum(query($C$28:$AA$176,""select P where C = '""&amp;$C5&amp;""'"",0)))"),245.83)</f>
        <v>245.83</v>
      </c>
      <c r="Q5" s="392">
        <f>IFERROR(__xludf.DUMMYFUNCTION("if(isblank($C5),"""",sum(query($C$28:$AA$176,""select Q where C = '""&amp;$C5&amp;""'"",0)))"),85.93)</f>
        <v>85.93</v>
      </c>
      <c r="R5" s="392">
        <f>IFERROR(__xludf.DUMMYFUNCTION("if(isblank($C5),"""",sum(query($C$28:$AA$176,""select R where C = '""&amp;$C5&amp;""'"",0)))"),85.93)</f>
        <v>85.93</v>
      </c>
      <c r="S5" s="392">
        <f>IFERROR(__xludf.DUMMYFUNCTION("if(isblank($C5),"""",sum(query($C$28:$AA$176,""select S where C = '""&amp;$C5&amp;""'"",0)))"),85.93)</f>
        <v>85.93</v>
      </c>
      <c r="T5" s="392">
        <f>IFERROR(__xludf.DUMMYFUNCTION("if(isblank($C5),"""",sum(query($C$28:$AA$176,""select T where C = '""&amp;$C5&amp;""'"",0)))"),0.0)</f>
        <v>0</v>
      </c>
      <c r="U5" s="392">
        <f>IFERROR(__xludf.DUMMYFUNCTION("if(isblank($C5),"""",sum(query($C$28:$AA$176,""select U where C = '""&amp;$C5&amp;""'"",0)))"),0.0)</f>
        <v>0</v>
      </c>
      <c r="V5" s="392">
        <f>IFERROR(__xludf.DUMMYFUNCTION("if(isblank($C5),"""",sum(query($C$28:$AA$176,""select V where C = '""&amp;$C5&amp;""'"",0)))"),0.0)</f>
        <v>0</v>
      </c>
      <c r="W5" s="392">
        <f>IFERROR(__xludf.DUMMYFUNCTION("if(isblank($C5),"""",sum(query($C$28:$AA$176,""select W where C = '""&amp;$C5&amp;""'"",0)))"),0.0)</f>
        <v>0</v>
      </c>
      <c r="X5" s="392">
        <f>IFERROR(__xludf.DUMMYFUNCTION("if(isblank($C5),"""",sum(query($C$28:$AA$176,""select X where C = '""&amp;$C5&amp;""'"",0)))"),0.0)</f>
        <v>0</v>
      </c>
      <c r="Y5" s="392">
        <f>IFERROR(__xludf.DUMMYFUNCTION("if(isblank($C5),"""",sum(query($C$28:$AA$176,""select Y where C = '""&amp;$C5&amp;""'"",0)))"),0.0)</f>
        <v>0</v>
      </c>
      <c r="Z5" s="392">
        <f>IFERROR(__xludf.DUMMYFUNCTION("if(isblank($C5),0,sum(query($C$28:$AA$176,""select Z where C = '""&amp;$C5&amp;""'"",0)))"),0.0)</f>
        <v>0</v>
      </c>
      <c r="AA5" s="393">
        <f>IFERROR(__xludf.DUMMYFUNCTION("if(isblank($C5),"""",sum(query($C$28:$AA$176,""select AA where C = '""&amp;$C5&amp;""'"",0)))"),0.0)</f>
        <v>0</v>
      </c>
      <c r="AB5" s="21"/>
      <c r="AC5" s="246" t="str">
        <f t="shared" ref="AC5:AC24" si="3">if($AF5 &lt;&gt; "","Janeiro","")</f>
        <v>Janeiro</v>
      </c>
      <c r="AD5" s="246">
        <v>1.0</v>
      </c>
      <c r="AE5" s="254">
        <v>44197.0</v>
      </c>
      <c r="AF5" s="394" t="str">
        <f t="shared" ref="AF5:AF24" si="4">if($C5 &lt;&gt;"-",$C5,"")</f>
        <v>Nubank</v>
      </c>
      <c r="AG5" s="395">
        <f t="shared" ref="AG5:AG24" si="5">if($AF5 &lt;&gt; "",sum($P5:$AA5),"")</f>
        <v>503.62</v>
      </c>
      <c r="AH5" s="394">
        <f t="shared" ref="AH5:AH24" si="6">if($AF5 &lt;&gt; "",COUNTIF(P5:AA5,"&gt;0")-1,"")</f>
        <v>3</v>
      </c>
      <c r="AI5" s="396">
        <f t="shared" ref="AI5:AI24" si="7">if($AF5 &lt;&gt; "",$AG5/$AH5,"")</f>
        <v>167.8733333</v>
      </c>
      <c r="AJ5" s="397" t="str">
        <f t="shared" ref="AJ5:AJ24" si="8">$AF5</f>
        <v>Nubank</v>
      </c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</row>
    <row r="6">
      <c r="A6" s="389"/>
      <c r="B6" s="390">
        <f t="shared" si="2"/>
        <v>1708.32</v>
      </c>
      <c r="C6" s="398" t="str">
        <f>IFERROR(__xludf.DUMMYFUNCTION("""COMPUTED_VALUE"""),"Credicard")</f>
        <v>Credicard</v>
      </c>
      <c r="D6" s="399">
        <f>IFERROR(__xludf.DUMMYFUNCTION("if(isblank($C6),"""",sum(query($C$28:$AA$176,""select D where C = '""&amp;$C6&amp;""'"",0)))"),0.0)</f>
        <v>0</v>
      </c>
      <c r="E6" s="399">
        <f>IFERROR(__xludf.DUMMYFUNCTION("if(isblank($C6),"""",sum(query($C$28:$AA$176,""select E where C = '""&amp;$C6&amp;""'"",0)))"),0.0)</f>
        <v>0</v>
      </c>
      <c r="F6" s="399">
        <f>IFERROR(__xludf.DUMMYFUNCTION("if(isblank($C6),"""",sum(query($C$28:$AA$176,""select F where C = '""&amp;$C6&amp;""'"",0)))"),308.2)</f>
        <v>308.2</v>
      </c>
      <c r="G6" s="399">
        <f>IFERROR(__xludf.DUMMYFUNCTION("if(isblank($C6),"""",sum(query($C$28:$AA$176,""select G where C = '""&amp;$C6&amp;""'"",0)))"),0.0)</f>
        <v>0</v>
      </c>
      <c r="H6" s="399">
        <f>IFERROR(__xludf.DUMMYFUNCTION("if(isblank($C6),"""",sum(query($C$28:$AA$176,""select H where C = '""&amp;$C6&amp;""'"",0)))"),0.0)</f>
        <v>0</v>
      </c>
      <c r="I6" s="399">
        <f>IFERROR(__xludf.DUMMYFUNCTION("if(isblank($C6),"""",sum(query($C$28:$AA$176,""select I where C = '""&amp;$C6&amp;""'"",0)))"),0.0)</f>
        <v>0</v>
      </c>
      <c r="J6" s="399">
        <f>IFERROR(__xludf.DUMMYFUNCTION("if(isblank($C6),"""",sum(query($C$28:$AA$176,""select J where C = '""&amp;$C6&amp;""'"",0)))"),95.0)</f>
        <v>95</v>
      </c>
      <c r="K6" s="399">
        <f>IFERROR(__xludf.DUMMYFUNCTION("if(isblank($C6),"""",sum(query($C$28:$AA$176,""select K where C = '""&amp;$C6&amp;""'"",0)))"),0.0)</f>
        <v>0</v>
      </c>
      <c r="L6" s="399">
        <f>IFERROR(__xludf.DUMMYFUNCTION("if(isblank($C6),"""",sum(query($C$28:$AA$176,""select L where C = '""&amp;$C6&amp;""'"",0)))"),460.23)</f>
        <v>460.23</v>
      </c>
      <c r="M6" s="399">
        <f>IFERROR(__xludf.DUMMYFUNCTION("if(isblank($C6),"""",sum(query($C$28:$AA$176,""select M where C = '""&amp;$C6&amp;""'"",0)))"),143.9)</f>
        <v>143.9</v>
      </c>
      <c r="N6" s="399">
        <f>IFERROR(__xludf.DUMMYFUNCTION("if(isblank($C6),"""",sum(query($C$28:$AA$176,""select N where C = '""&amp;$C6&amp;""'"",0)))"),370.71000000000004)</f>
        <v>370.71</v>
      </c>
      <c r="O6" s="399">
        <f>IFERROR(__xludf.DUMMYFUNCTION("if(isblank($C6),"""",sum(query($C$28:$AA$176,""select O where C = '""&amp;$C6&amp;""'"",0)))"),100.0)</f>
        <v>100</v>
      </c>
      <c r="P6" s="399">
        <f>IFERROR(__xludf.DUMMYFUNCTION("if(isblank($C6),"""",sum(query($C$28:$AA$176,""select P where C = '""&amp;$C6&amp;""'"",0)))"),230.28)</f>
        <v>230.28</v>
      </c>
      <c r="Q6" s="399">
        <f>IFERROR(__xludf.DUMMYFUNCTION("if(isblank($C6),"""",sum(query($C$28:$AA$176,""select Q where C = '""&amp;$C6&amp;""'"",0)))"),0.0)</f>
        <v>0</v>
      </c>
      <c r="R6" s="399">
        <f>IFERROR(__xludf.DUMMYFUNCTION("if(isblank($C6),"""",sum(query($C$28:$AA$176,""select R where C = '""&amp;$C6&amp;""'"",0)))"),0.0)</f>
        <v>0</v>
      </c>
      <c r="S6" s="399">
        <f>IFERROR(__xludf.DUMMYFUNCTION("if(isblank($C6),"""",sum(query($C$28:$AA$176,""select S where C = '""&amp;$C6&amp;""'"",0)))"),0.0)</f>
        <v>0</v>
      </c>
      <c r="T6" s="399">
        <f>IFERROR(__xludf.DUMMYFUNCTION("if(isblank($C6),"""",sum(query($C$28:$AA$176,""select T where C = '""&amp;$C6&amp;""'"",0)))"),0.0)</f>
        <v>0</v>
      </c>
      <c r="U6" s="399">
        <f>IFERROR(__xludf.DUMMYFUNCTION("if(isblank($C6),"""",sum(query($C$28:$AA$176,""select U where C = '""&amp;$C6&amp;""'"",0)))"),0.0)</f>
        <v>0</v>
      </c>
      <c r="V6" s="399">
        <f>IFERROR(__xludf.DUMMYFUNCTION("if(isblank($C6),"""",sum(query($C$28:$AA$176,""select V where C = '""&amp;$C6&amp;""'"",0)))"),0.0)</f>
        <v>0</v>
      </c>
      <c r="W6" s="399">
        <f>IFERROR(__xludf.DUMMYFUNCTION("if(isblank($C6),"""",sum(query($C$28:$AA$176,""select W where C = '""&amp;$C6&amp;""'"",0)))"),0.0)</f>
        <v>0</v>
      </c>
      <c r="X6" s="399">
        <f>IFERROR(__xludf.DUMMYFUNCTION("if(isblank($C6),"""",sum(query($C$28:$AA$176,""select X where C = '""&amp;$C6&amp;""'"",0)))"),0.0)</f>
        <v>0</v>
      </c>
      <c r="Y6" s="399">
        <f>IFERROR(__xludf.DUMMYFUNCTION("if(isblank($C6),"""",sum(query($C$28:$AA$176,""select Y where C = '""&amp;$C6&amp;""'"",0)))"),0.0)</f>
        <v>0</v>
      </c>
      <c r="Z6" s="399">
        <f>IFERROR(__xludf.DUMMYFUNCTION("if(isblank($C6),0,sum(query($C$28:$AA$176,""select Z where C = '""&amp;$C6&amp;""'"",0)))"),0.0)</f>
        <v>0</v>
      </c>
      <c r="AA6" s="400">
        <f>IFERROR(__xludf.DUMMYFUNCTION("if(isblank($C6),"""",sum(query($C$28:$AA$176,""select AA where C = '""&amp;$C6&amp;""'"",0)))"),0.0)</f>
        <v>0</v>
      </c>
      <c r="AB6" s="21"/>
      <c r="AC6" s="246" t="str">
        <f t="shared" si="3"/>
        <v>Janeiro</v>
      </c>
      <c r="AD6" s="246">
        <f t="shared" ref="AD6:AD24" si="9">if($AF6 &lt;&gt; "",$AD5 +1,"")</f>
        <v>2</v>
      </c>
      <c r="AE6" s="254">
        <f t="shared" ref="AE6:AE24" si="10">if($AF6 &lt;&gt; "",$AE5,"")</f>
        <v>44197</v>
      </c>
      <c r="AF6" s="394" t="str">
        <f t="shared" si="4"/>
        <v>Credicard</v>
      </c>
      <c r="AG6" s="395">
        <f t="shared" si="5"/>
        <v>230.28</v>
      </c>
      <c r="AH6" s="394">
        <f t="shared" si="6"/>
        <v>0</v>
      </c>
      <c r="AI6" s="396" t="str">
        <f t="shared" si="7"/>
        <v>#DIV/0!</v>
      </c>
      <c r="AJ6" s="397" t="str">
        <f t="shared" si="8"/>
        <v>Credicard</v>
      </c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</row>
    <row r="7">
      <c r="A7" s="389"/>
      <c r="B7" s="390">
        <f t="shared" si="2"/>
        <v>5438.62</v>
      </c>
      <c r="C7" s="398" t="str">
        <f>IFERROR(__xludf.DUMMYFUNCTION("""COMPUTED_VALUE"""),"Carrefour")</f>
        <v>Carrefour</v>
      </c>
      <c r="D7" s="392">
        <f>IFERROR(__xludf.DUMMYFUNCTION("if(isblank($C7),"""",sum(query($C$28:$AA$176,""select D where C = '""&amp;$C7&amp;""'"",0)))"),0.0)</f>
        <v>0</v>
      </c>
      <c r="E7" s="392">
        <f>IFERROR(__xludf.DUMMYFUNCTION("if(isblank($C7),"""",sum(query($C$28:$AA$176,""select E where C = '""&amp;$C7&amp;""'"",0)))"),0.0)</f>
        <v>0</v>
      </c>
      <c r="F7" s="392">
        <f>IFERROR(__xludf.DUMMYFUNCTION("if(isblank($C7),"""",sum(query($C$28:$AA$176,""select F where C = '""&amp;$C7&amp;""'"",0)))"),434.48999999999995)</f>
        <v>434.49</v>
      </c>
      <c r="G7" s="392">
        <f>IFERROR(__xludf.DUMMYFUNCTION("if(isblank($C7),"""",sum(query($C$28:$AA$176,""select G where C = '""&amp;$C7&amp;""'"",0)))"),15.0)</f>
        <v>15</v>
      </c>
      <c r="H7" s="392">
        <f>IFERROR(__xludf.DUMMYFUNCTION("if(isblank($C7),"""",sum(query($C$28:$AA$176,""select H where C = '""&amp;$C7&amp;""'"",0)))"),117.45)</f>
        <v>117.45</v>
      </c>
      <c r="I7" s="392">
        <f>IFERROR(__xludf.DUMMYFUNCTION("if(isblank($C7),"""",sum(query($C$28:$AA$176,""select I where C = '""&amp;$C7&amp;""'"",0)))"),161.31)</f>
        <v>161.31</v>
      </c>
      <c r="J7" s="392">
        <f>IFERROR(__xludf.DUMMYFUNCTION("if(isblank($C7),"""",sum(query($C$28:$AA$176,""select J where C = '""&amp;$C7&amp;""'"",0)))"),117.45)</f>
        <v>117.45</v>
      </c>
      <c r="K7" s="392">
        <f>IFERROR(__xludf.DUMMYFUNCTION("if(isblank($C7),"""",sum(query($C$28:$AA$176,""select K where C = '""&amp;$C7&amp;""'"",0)))"),117.45)</f>
        <v>117.45</v>
      </c>
      <c r="L7" s="392">
        <f>IFERROR(__xludf.DUMMYFUNCTION("if(isblank($C7),"""",sum(query($C$28:$AA$176,""select L where C = '""&amp;$C7&amp;""'"",0)))"),425.49)</f>
        <v>425.49</v>
      </c>
      <c r="M7" s="392">
        <f>IFERROR(__xludf.DUMMYFUNCTION("if(isblank($C7),"""",sum(query($C$28:$AA$176,""select M where C = '""&amp;$C7&amp;""'"",0)))"),687.43)</f>
        <v>687.43</v>
      </c>
      <c r="N7" s="392">
        <f>IFERROR(__xludf.DUMMYFUNCTION("if(isblank($C7),"""",sum(query($C$28:$AA$176,""select N where C = '""&amp;$C7&amp;""'"",0)))"),750.1800000000001)</f>
        <v>750.18</v>
      </c>
      <c r="O7" s="392">
        <f>IFERROR(__xludf.DUMMYFUNCTION("if(isblank($C7),"""",sum(query($C$28:$AA$176,""select O where C = '""&amp;$C7&amp;""'"",0)))"),741.82)</f>
        <v>741.82</v>
      </c>
      <c r="P7" s="392">
        <f>IFERROR(__xludf.DUMMYFUNCTION("if(isblank($C7),"""",sum(query($C$28:$AA$176,""select P where C = '""&amp;$C7&amp;""'"",0)))"),578.6)</f>
        <v>578.6</v>
      </c>
      <c r="Q7" s="392">
        <f>IFERROR(__xludf.DUMMYFUNCTION("if(isblank($C7),"""",sum(query($C$28:$AA$176,""select Q where C = '""&amp;$C7&amp;""'"",0)))"),117.45)</f>
        <v>117.45</v>
      </c>
      <c r="R7" s="392">
        <f>IFERROR(__xludf.DUMMYFUNCTION("if(isblank($C7),"""",sum(query($C$28:$AA$176,""select R where C = '""&amp;$C7&amp;""'"",0)))"),117.45)</f>
        <v>117.45</v>
      </c>
      <c r="S7" s="392">
        <f>IFERROR(__xludf.DUMMYFUNCTION("if(isblank($C7),"""",sum(query($C$28:$AA$176,""select S where C = '""&amp;$C7&amp;""'"",0)))"),117.45)</f>
        <v>117.45</v>
      </c>
      <c r="T7" s="392">
        <f>IFERROR(__xludf.DUMMYFUNCTION("if(isblank($C7),"""",sum(query($C$28:$AA$176,""select T where C = '""&amp;$C7&amp;""'"",0)))"),117.45)</f>
        <v>117.45</v>
      </c>
      <c r="U7" s="392">
        <f>IFERROR(__xludf.DUMMYFUNCTION("if(isblank($C7),"""",sum(query($C$28:$AA$176,""select U where C = '""&amp;$C7&amp;""'"",0)))"),117.45)</f>
        <v>117.45</v>
      </c>
      <c r="V7" s="392">
        <f>IFERROR(__xludf.DUMMYFUNCTION("if(isblank($C7),"""",sum(query($C$28:$AA$176,""select V where C = '""&amp;$C7&amp;""'"",0)))"),117.45)</f>
        <v>117.45</v>
      </c>
      <c r="W7" s="392">
        <f>IFERROR(__xludf.DUMMYFUNCTION("if(isblank($C7),"""",sum(query($C$28:$AA$176,""select W where C = '""&amp;$C7&amp;""'"",0)))"),117.45)</f>
        <v>117.45</v>
      </c>
      <c r="X7" s="392">
        <f>IFERROR(__xludf.DUMMYFUNCTION("if(isblank($C7),"""",sum(query($C$28:$AA$176,""select X where C = '""&amp;$C7&amp;""'"",0)))"),117.45)</f>
        <v>117.45</v>
      </c>
      <c r="Y7" s="392">
        <f>IFERROR(__xludf.DUMMYFUNCTION("if(isblank($C7),"""",sum(query($C$28:$AA$176,""select Y where C = '""&amp;$C7&amp;""'"",0)))"),117.45)</f>
        <v>117.45</v>
      </c>
      <c r="Z7" s="392">
        <f>IFERROR(__xludf.DUMMYFUNCTION("if(isblank($C7),0,sum(query($C$28:$AA$176,""select Z where C = '""&amp;$C7&amp;""'"",0)))"),117.45)</f>
        <v>117.45</v>
      </c>
      <c r="AA7" s="393">
        <f>IFERROR(__xludf.DUMMYFUNCTION("if(isblank($C7),"""",sum(query($C$28:$AA$176,""select AA where C = '""&amp;$C7&amp;""'"",0)))"),117.45)</f>
        <v>117.45</v>
      </c>
      <c r="AB7" s="21"/>
      <c r="AC7" s="246" t="str">
        <f t="shared" si="3"/>
        <v>Janeiro</v>
      </c>
      <c r="AD7" s="246">
        <f t="shared" si="9"/>
        <v>3</v>
      </c>
      <c r="AE7" s="254">
        <f t="shared" si="10"/>
        <v>44197</v>
      </c>
      <c r="AF7" s="394" t="str">
        <f t="shared" si="4"/>
        <v>Carrefour</v>
      </c>
      <c r="AG7" s="395">
        <f t="shared" si="5"/>
        <v>1870.55</v>
      </c>
      <c r="AH7" s="394">
        <f t="shared" si="6"/>
        <v>11</v>
      </c>
      <c r="AI7" s="396">
        <f t="shared" si="7"/>
        <v>170.05</v>
      </c>
      <c r="AJ7" s="397" t="str">
        <f t="shared" si="8"/>
        <v>Carrefour</v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</row>
    <row r="8">
      <c r="A8" s="389"/>
      <c r="B8" s="401" t="str">
        <f t="shared" si="2"/>
        <v/>
      </c>
      <c r="C8" s="398"/>
      <c r="D8" s="399" t="str">
        <f>IFERROR(__xludf.DUMMYFUNCTION("if(isblank($C8),"""",sum(query($C$28:$AA$176,""select D where C = '""&amp;$C8&amp;""'"",0)))"),"  ")</f>
        <v/>
      </c>
      <c r="E8" s="399" t="str">
        <f>IFERROR(__xludf.DUMMYFUNCTION("if(isblank($C8),"""",sum(query($C$28:$AA$176,""select E where C = '""&amp;$C8&amp;""'"",0)))"),"  ")</f>
        <v/>
      </c>
      <c r="F8" s="399" t="str">
        <f>IFERROR(__xludf.DUMMYFUNCTION("if(isblank($C8),"""",sum(query($C$28:$AA$176,""select F where C = '""&amp;$C8&amp;""'"",0)))"),"  ")</f>
        <v/>
      </c>
      <c r="G8" s="399" t="str">
        <f>IFERROR(__xludf.DUMMYFUNCTION("if(isblank($C8),"""",sum(query($C$28:$AA$176,""select G where C = '""&amp;$C8&amp;""'"",0)))"),"  ")</f>
        <v/>
      </c>
      <c r="H8" s="399" t="str">
        <f>IFERROR(__xludf.DUMMYFUNCTION("if(isblank($C8),"""",sum(query($C$28:$AA$176,""select H where C = '""&amp;$C8&amp;""'"",0)))"),"  ")</f>
        <v/>
      </c>
      <c r="I8" s="399" t="str">
        <f>IFERROR(__xludf.DUMMYFUNCTION("if(isblank($C8),"""",sum(query($C$28:$AA$176,""select I where C = '""&amp;$C8&amp;""'"",0)))"),"  ")</f>
        <v/>
      </c>
      <c r="J8" s="399" t="str">
        <f>IFERROR(__xludf.DUMMYFUNCTION("if(isblank($C8),"""",sum(query($C$28:$AA$176,""select J where C = '""&amp;$C8&amp;""'"",0)))"),"  ")</f>
        <v/>
      </c>
      <c r="K8" s="399" t="str">
        <f>IFERROR(__xludf.DUMMYFUNCTION("if(isblank($C8),"""",sum(query($C$28:$AA$176,""select K where C = '""&amp;$C8&amp;""'"",0)))"),"  ")</f>
        <v/>
      </c>
      <c r="L8" s="399" t="str">
        <f>IFERROR(__xludf.DUMMYFUNCTION("if(isblank($C8),"""",sum(query($C$28:$AA$176,""select L where C = '""&amp;$C8&amp;""'"",0)))"),"  ")</f>
        <v/>
      </c>
      <c r="M8" s="399" t="str">
        <f>IFERROR(__xludf.DUMMYFUNCTION("if(isblank($C8),"""",sum(query($C$28:$AA$176,""select M where C = '""&amp;$C8&amp;""'"",0)))"),"  ")</f>
        <v/>
      </c>
      <c r="N8" s="399" t="str">
        <f>IFERROR(__xludf.DUMMYFUNCTION("if(isblank($C8),"""",sum(query($C$28:$AA$176,""select N where C = '""&amp;$C8&amp;""'"",0)))"),"  ")</f>
        <v/>
      </c>
      <c r="O8" s="399" t="str">
        <f>IFERROR(__xludf.DUMMYFUNCTION("if(isblank($C8),"""",sum(query($C$28:$AA$176,""select O where C = '""&amp;$C8&amp;""'"",0)))"),"  ")</f>
        <v/>
      </c>
      <c r="P8" s="399" t="str">
        <f>IFERROR(__xludf.DUMMYFUNCTION("if(isblank($C8),"""",sum(query($C$28:$AA$176,""select P where C = '""&amp;$C8&amp;""'"",0)))"),"  ")</f>
        <v/>
      </c>
      <c r="Q8" s="399" t="str">
        <f>IFERROR(__xludf.DUMMYFUNCTION("if(isblank($C8),"""",sum(query($C$28:$AA$176,""select Q where C = '""&amp;$C8&amp;""'"",0)))"),"  ")</f>
        <v/>
      </c>
      <c r="R8" s="399" t="str">
        <f>IFERROR(__xludf.DUMMYFUNCTION("if(isblank($C8),"""",sum(query($C$28:$AA$176,""select R where C = '""&amp;$C8&amp;""'"",0)))"),"  ")</f>
        <v/>
      </c>
      <c r="S8" s="399" t="str">
        <f>IFERROR(__xludf.DUMMYFUNCTION("if(isblank($C8),"""",sum(query($C$28:$AA$176,""select S where C = '""&amp;$C8&amp;""'"",0)))"),"  ")</f>
        <v/>
      </c>
      <c r="T8" s="399" t="str">
        <f>IFERROR(__xludf.DUMMYFUNCTION("if(isblank($C8),"""",sum(query($C$28:$AA$176,""select T where C = '""&amp;$C8&amp;""'"",0)))"),"  ")</f>
        <v/>
      </c>
      <c r="U8" s="399" t="str">
        <f>IFERROR(__xludf.DUMMYFUNCTION("if(isblank($C8),"""",sum(query($C$28:$AA$176,""select U where C = '""&amp;$C8&amp;""'"",0)))"),"  ")</f>
        <v/>
      </c>
      <c r="V8" s="399" t="str">
        <f>IFERROR(__xludf.DUMMYFUNCTION("if(isblank($C8),"""",sum(query($C$28:$AA$176,""select V where C = '""&amp;$C8&amp;""'"",0)))"),"  ")</f>
        <v/>
      </c>
      <c r="W8" s="399" t="str">
        <f>IFERROR(__xludf.DUMMYFUNCTION("if(isblank($C8),"""",sum(query($C$28:$AA$176,""select W where C = '""&amp;$C8&amp;""'"",0)))"),"  ")</f>
        <v/>
      </c>
      <c r="X8" s="399" t="str">
        <f>IFERROR(__xludf.DUMMYFUNCTION("if(isblank($C8),"""",sum(query($C$28:$AA$176,""select X where C = '""&amp;$C8&amp;""'"",0)))"),"  ")</f>
        <v/>
      </c>
      <c r="Y8" s="399" t="str">
        <f>IFERROR(__xludf.DUMMYFUNCTION("if(isblank($C8),"""",sum(query($C$28:$AA$176,""select Y where C = '""&amp;$C8&amp;""'"",0)))"),"  ")</f>
        <v/>
      </c>
      <c r="Z8" s="399">
        <f>IFERROR(__xludf.DUMMYFUNCTION("if(isblank($C8),0,sum(query($C$28:$AA$176,""select Z where C = '""&amp;$C8&amp;""'"",0)))"),0.0)</f>
        <v>0</v>
      </c>
      <c r="AA8" s="400" t="str">
        <f>IFERROR(__xludf.DUMMYFUNCTION("if(isblank($C8),"""",sum(query($C$28:$AA$176,""select AA where C = '""&amp;$C8&amp;""'"",0)))"),"  ")</f>
        <v/>
      </c>
      <c r="AB8" s="21"/>
      <c r="AC8" s="246" t="str">
        <f t="shared" si="3"/>
        <v/>
      </c>
      <c r="AD8" s="246" t="str">
        <f t="shared" si="9"/>
        <v/>
      </c>
      <c r="AE8" s="254" t="str">
        <f t="shared" si="10"/>
        <v/>
      </c>
      <c r="AF8" s="394" t="str">
        <f t="shared" si="4"/>
        <v/>
      </c>
      <c r="AG8" s="394" t="str">
        <f t="shared" si="5"/>
        <v/>
      </c>
      <c r="AH8" s="394" t="str">
        <f t="shared" si="6"/>
        <v/>
      </c>
      <c r="AI8" s="396" t="str">
        <f t="shared" si="7"/>
        <v/>
      </c>
      <c r="AJ8" s="397" t="str">
        <f t="shared" si="8"/>
        <v/>
      </c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</row>
    <row r="9">
      <c r="A9" s="389"/>
      <c r="B9" s="401" t="str">
        <f t="shared" si="2"/>
        <v/>
      </c>
      <c r="C9" s="398"/>
      <c r="D9" s="392" t="str">
        <f>IFERROR(__xludf.DUMMYFUNCTION("if(isblank($C9),"""",sum(query($C$28:$AA$176,""select D where C = '""&amp;$C9&amp;""'"",0)))"),"  ")</f>
        <v/>
      </c>
      <c r="E9" s="392" t="str">
        <f>IFERROR(__xludf.DUMMYFUNCTION("if(isblank($C9),"""",sum(query($C$28:$AA$176,""select E where C = '""&amp;$C9&amp;""'"",0)))"),"  ")</f>
        <v/>
      </c>
      <c r="F9" s="392" t="str">
        <f>IFERROR(__xludf.DUMMYFUNCTION("if(isblank($C9),"""",sum(query($C$28:$AA$176,""select F where C = '""&amp;$C9&amp;""'"",0)))"),"  ")</f>
        <v/>
      </c>
      <c r="G9" s="392" t="str">
        <f>IFERROR(__xludf.DUMMYFUNCTION("if(isblank($C9),"""",sum(query($C$28:$AA$176,""select G where C = '""&amp;$C9&amp;""'"",0)))"),"  ")</f>
        <v/>
      </c>
      <c r="H9" s="392" t="str">
        <f>IFERROR(__xludf.DUMMYFUNCTION("if(isblank($C9),"""",sum(query($C$28:$AA$176,""select H where C = '""&amp;$C9&amp;""'"",0)))"),"  ")</f>
        <v/>
      </c>
      <c r="I9" s="392" t="str">
        <f>IFERROR(__xludf.DUMMYFUNCTION("if(isblank($C9),"""",sum(query($C$28:$AA$176,""select I where C = '""&amp;$C9&amp;""'"",0)))"),"  ")</f>
        <v/>
      </c>
      <c r="J9" s="392" t="str">
        <f>IFERROR(__xludf.DUMMYFUNCTION("if(isblank($C9),"""",sum(query($C$28:$AA$176,""select J where C = '""&amp;$C9&amp;""'"",0)))"),"  ")</f>
        <v/>
      </c>
      <c r="K9" s="392" t="str">
        <f>IFERROR(__xludf.DUMMYFUNCTION("if(isblank($C9),"""",sum(query($C$28:$AA$176,""select K where C = '""&amp;$C9&amp;""'"",0)))"),"  ")</f>
        <v/>
      </c>
      <c r="L9" s="392" t="str">
        <f>IFERROR(__xludf.DUMMYFUNCTION("if(isblank($C9),"""",sum(query($C$28:$AA$176,""select L where C = '""&amp;$C9&amp;""'"",0)))"),"  ")</f>
        <v/>
      </c>
      <c r="M9" s="392" t="str">
        <f>IFERROR(__xludf.DUMMYFUNCTION("if(isblank($C9),"""",sum(query($C$28:$AA$176,""select M where C = '""&amp;$C9&amp;""'"",0)))"),"  ")</f>
        <v/>
      </c>
      <c r="N9" s="392" t="str">
        <f>IFERROR(__xludf.DUMMYFUNCTION("if(isblank($C9),"""",sum(query($C$28:$AA$176,""select N where C = '""&amp;$C9&amp;""'"",0)))"),"  ")</f>
        <v/>
      </c>
      <c r="O9" s="392" t="str">
        <f>IFERROR(__xludf.DUMMYFUNCTION("if(isblank($C9),"""",sum(query($C$28:$AA$176,""select O where C = '""&amp;$C9&amp;""'"",0)))"),"  ")</f>
        <v/>
      </c>
      <c r="P9" s="392" t="str">
        <f>IFERROR(__xludf.DUMMYFUNCTION("if(isblank($C9),"""",sum(query($C$28:$AA$176,""select P where C = '""&amp;$C9&amp;""'"",0)))"),"  ")</f>
        <v/>
      </c>
      <c r="Q9" s="392" t="str">
        <f>IFERROR(__xludf.DUMMYFUNCTION("if(isblank($C9),"""",sum(query($C$28:$AA$176,""select Q where C = '""&amp;$C9&amp;""'"",0)))"),"  ")</f>
        <v/>
      </c>
      <c r="R9" s="392" t="str">
        <f>IFERROR(__xludf.DUMMYFUNCTION("if(isblank($C9),"""",sum(query($C$28:$AA$176,""select R where C = '""&amp;$C9&amp;""'"",0)))"),"  ")</f>
        <v/>
      </c>
      <c r="S9" s="392" t="str">
        <f>IFERROR(__xludf.DUMMYFUNCTION("if(isblank($C9),"""",sum(query($C$28:$AA$176,""select S where C = '""&amp;$C9&amp;""'"",0)))"),"  ")</f>
        <v/>
      </c>
      <c r="T9" s="392" t="str">
        <f>IFERROR(__xludf.DUMMYFUNCTION("if(isblank($C9),"""",sum(query($C$28:$AA$176,""select T where C = '""&amp;$C9&amp;""'"",0)))"),"  ")</f>
        <v/>
      </c>
      <c r="U9" s="392" t="str">
        <f>IFERROR(__xludf.DUMMYFUNCTION("if(isblank($C9),"""",sum(query($C$28:$AA$176,""select U where C = '""&amp;$C9&amp;""'"",0)))"),"  ")</f>
        <v/>
      </c>
      <c r="V9" s="392" t="str">
        <f>IFERROR(__xludf.DUMMYFUNCTION("if(isblank($C9),"""",sum(query($C$28:$AA$176,""select V where C = '""&amp;$C9&amp;""'"",0)))"),"  ")</f>
        <v/>
      </c>
      <c r="W9" s="392" t="str">
        <f>IFERROR(__xludf.DUMMYFUNCTION("if(isblank($C9),"""",sum(query($C$28:$AA$176,""select W where C = '""&amp;$C9&amp;""'"",0)))"),"  ")</f>
        <v/>
      </c>
      <c r="X9" s="392" t="str">
        <f>IFERROR(__xludf.DUMMYFUNCTION("if(isblank($C9),"""",sum(query($C$28:$AA$176,""select X where C = '""&amp;$C9&amp;""'"",0)))"),"  ")</f>
        <v/>
      </c>
      <c r="Y9" s="392" t="str">
        <f>IFERROR(__xludf.DUMMYFUNCTION("if(isblank($C9),"""",sum(query($C$28:$AA$176,""select Y where C = '""&amp;$C9&amp;""'"",0)))"),"  ")</f>
        <v/>
      </c>
      <c r="Z9" s="392">
        <f>IFERROR(__xludf.DUMMYFUNCTION("if(isblank($C9),0,sum(query($C$28:$AA$176,""select Z where C = '""&amp;$C9&amp;""'"",0)))"),0.0)</f>
        <v>0</v>
      </c>
      <c r="AA9" s="393" t="str">
        <f>IFERROR(__xludf.DUMMYFUNCTION("if(isblank($C9),"""",sum(query($C$28:$AA$176,""select AA where C = '""&amp;$C9&amp;""'"",0)))"),"  ")</f>
        <v/>
      </c>
      <c r="AB9" s="21"/>
      <c r="AC9" s="246" t="str">
        <f t="shared" si="3"/>
        <v/>
      </c>
      <c r="AD9" s="246" t="str">
        <f t="shared" si="9"/>
        <v/>
      </c>
      <c r="AE9" s="254" t="str">
        <f t="shared" si="10"/>
        <v/>
      </c>
      <c r="AF9" s="394" t="str">
        <f t="shared" si="4"/>
        <v/>
      </c>
      <c r="AG9" s="394" t="str">
        <f t="shared" si="5"/>
        <v/>
      </c>
      <c r="AH9" s="394" t="str">
        <f t="shared" si="6"/>
        <v/>
      </c>
      <c r="AI9" s="396" t="str">
        <f t="shared" si="7"/>
        <v/>
      </c>
      <c r="AJ9" s="397" t="str">
        <f t="shared" si="8"/>
        <v/>
      </c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</row>
    <row r="10">
      <c r="A10" s="389"/>
      <c r="B10" s="401" t="str">
        <f t="shared" si="2"/>
        <v/>
      </c>
      <c r="C10" s="398"/>
      <c r="D10" s="399" t="str">
        <f>IFERROR(__xludf.DUMMYFUNCTION("if(isblank($C10),"""",sum(query($C$28:$AA$176,""select D where C = '""&amp;$C10&amp;""'"",0)))"),"  ")</f>
        <v/>
      </c>
      <c r="E10" s="399" t="str">
        <f>IFERROR(__xludf.DUMMYFUNCTION("if(isblank($C10),"""",sum(query($C$28:$AA$176,""select E where C = '""&amp;$C10&amp;""'"",0)))"),"  ")</f>
        <v/>
      </c>
      <c r="F10" s="399" t="str">
        <f>IFERROR(__xludf.DUMMYFUNCTION("if(isblank($C10),"""",sum(query($C$28:$AA$176,""select F where C = '""&amp;$C10&amp;""'"",0)))"),"  ")</f>
        <v/>
      </c>
      <c r="G10" s="399" t="str">
        <f>IFERROR(__xludf.DUMMYFUNCTION("if(isblank($C10),"""",sum(query($C$28:$AA$176,""select G where C = '""&amp;$C10&amp;""'"",0)))"),"  ")</f>
        <v/>
      </c>
      <c r="H10" s="399" t="str">
        <f>IFERROR(__xludf.DUMMYFUNCTION("if(isblank($C10),"""",sum(query($C$28:$AA$176,""select H where C = '""&amp;$C10&amp;""'"",0)))"),"  ")</f>
        <v/>
      </c>
      <c r="I10" s="399" t="str">
        <f>IFERROR(__xludf.DUMMYFUNCTION("if(isblank($C10),"""",sum(query($C$28:$AA$176,""select I where C = '""&amp;$C10&amp;""'"",0)))"),"  ")</f>
        <v/>
      </c>
      <c r="J10" s="399" t="str">
        <f>IFERROR(__xludf.DUMMYFUNCTION("if(isblank($C10),"""",sum(query($C$28:$AA$176,""select J where C = '""&amp;$C10&amp;""'"",0)))"),"  ")</f>
        <v/>
      </c>
      <c r="K10" s="399" t="str">
        <f>IFERROR(__xludf.DUMMYFUNCTION("if(isblank($C10),"""",sum(query($C$28:$AA$176,""select K where C = '""&amp;$C10&amp;""'"",0)))"),"  ")</f>
        <v/>
      </c>
      <c r="L10" s="399" t="str">
        <f>IFERROR(__xludf.DUMMYFUNCTION("if(isblank($C10),"""",sum(query($C$28:$AA$176,""select L where C = '""&amp;$C10&amp;""'"",0)))"),"  ")</f>
        <v/>
      </c>
      <c r="M10" s="399" t="str">
        <f>IFERROR(__xludf.DUMMYFUNCTION("if(isblank($C10),"""",sum(query($C$28:$AA$176,""select M where C = '""&amp;$C10&amp;""'"",0)))"),"  ")</f>
        <v/>
      </c>
      <c r="N10" s="399" t="str">
        <f>IFERROR(__xludf.DUMMYFUNCTION("if(isblank($C10),"""",sum(query($C$28:$AA$176,""select N where C = '""&amp;$C10&amp;""'"",0)))"),"  ")</f>
        <v/>
      </c>
      <c r="O10" s="399" t="str">
        <f>IFERROR(__xludf.DUMMYFUNCTION("if(isblank($C10),"""",sum(query($C$28:$AA$176,""select O where C = '""&amp;$C10&amp;""'"",0)))"),"  ")</f>
        <v/>
      </c>
      <c r="P10" s="399" t="str">
        <f>IFERROR(__xludf.DUMMYFUNCTION("if(isblank($C10),"""",sum(query($C$28:$AA$176,""select P where C = '""&amp;$C10&amp;""'"",0)))"),"  ")</f>
        <v/>
      </c>
      <c r="Q10" s="399" t="str">
        <f>IFERROR(__xludf.DUMMYFUNCTION("if(isblank($C10),"""",sum(query($C$28:$AA$176,""select Q where C = '""&amp;$C10&amp;""'"",0)))"),"  ")</f>
        <v/>
      </c>
      <c r="R10" s="399" t="str">
        <f>IFERROR(__xludf.DUMMYFUNCTION("if(isblank($C10),"""",sum(query($C$28:$AA$176,""select R where C = '""&amp;$C10&amp;""'"",0)))"),"  ")</f>
        <v/>
      </c>
      <c r="S10" s="399" t="str">
        <f>IFERROR(__xludf.DUMMYFUNCTION("if(isblank($C10),"""",sum(query($C$28:$AA$176,""select S where C = '""&amp;$C10&amp;""'"",0)))"),"  ")</f>
        <v/>
      </c>
      <c r="T10" s="399" t="str">
        <f>IFERROR(__xludf.DUMMYFUNCTION("if(isblank($C10),"""",sum(query($C$28:$AA$176,""select T where C = '""&amp;$C10&amp;""'"",0)))"),"  ")</f>
        <v/>
      </c>
      <c r="U10" s="399" t="str">
        <f>IFERROR(__xludf.DUMMYFUNCTION("if(isblank($C10),"""",sum(query($C$28:$AA$176,""select U where C = '""&amp;$C10&amp;""'"",0)))"),"  ")</f>
        <v/>
      </c>
      <c r="V10" s="399" t="str">
        <f>IFERROR(__xludf.DUMMYFUNCTION("if(isblank($C10),"""",sum(query($C$28:$AA$176,""select V where C = '""&amp;$C10&amp;""'"",0)))"),"  ")</f>
        <v/>
      </c>
      <c r="W10" s="399" t="str">
        <f>IFERROR(__xludf.DUMMYFUNCTION("if(isblank($C10),"""",sum(query($C$28:$AA$176,""select W where C = '""&amp;$C10&amp;""'"",0)))"),"  ")</f>
        <v/>
      </c>
      <c r="X10" s="399" t="str">
        <f>IFERROR(__xludf.DUMMYFUNCTION("if(isblank($C10),"""",sum(query($C$28:$AA$176,""select X where C = '""&amp;$C10&amp;""'"",0)))"),"  ")</f>
        <v/>
      </c>
      <c r="Y10" s="399" t="str">
        <f>IFERROR(__xludf.DUMMYFUNCTION("if(isblank($C10),"""",sum(query($C$28:$AA$176,""select Y where C = '""&amp;$C10&amp;""'"",0)))"),"  ")</f>
        <v/>
      </c>
      <c r="Z10" s="399">
        <f>IFERROR(__xludf.DUMMYFUNCTION("if(isblank($C10),0,sum(query($C$28:$AA$176,""select Z where C = '""&amp;$C10&amp;""'"",0)))"),0.0)</f>
        <v>0</v>
      </c>
      <c r="AA10" s="400" t="str">
        <f>IFERROR(__xludf.DUMMYFUNCTION("if(isblank($C10),"""",sum(query($C$28:$AA$176,""select AA where C = '""&amp;$C10&amp;""'"",0)))"),"  ")</f>
        <v/>
      </c>
      <c r="AB10" s="21"/>
      <c r="AC10" s="246" t="str">
        <f t="shared" si="3"/>
        <v/>
      </c>
      <c r="AD10" s="246" t="str">
        <f t="shared" si="9"/>
        <v/>
      </c>
      <c r="AE10" s="254" t="str">
        <f t="shared" si="10"/>
        <v/>
      </c>
      <c r="AF10" s="394" t="str">
        <f t="shared" si="4"/>
        <v/>
      </c>
      <c r="AG10" s="394" t="str">
        <f t="shared" si="5"/>
        <v/>
      </c>
      <c r="AH10" s="394" t="str">
        <f t="shared" si="6"/>
        <v/>
      </c>
      <c r="AI10" s="396" t="str">
        <f t="shared" si="7"/>
        <v/>
      </c>
      <c r="AJ10" s="397" t="str">
        <f t="shared" si="8"/>
        <v/>
      </c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</row>
    <row r="11">
      <c r="A11" s="389"/>
      <c r="B11" s="401" t="str">
        <f t="shared" si="2"/>
        <v/>
      </c>
      <c r="C11" s="398"/>
      <c r="D11" s="392" t="str">
        <f>IFERROR(__xludf.DUMMYFUNCTION("if(isblank($C11),"""",sum(query($C$28:$AA$176,""select D where C = '""&amp;$C11&amp;""'"",0)))"),"  ")</f>
        <v/>
      </c>
      <c r="E11" s="392" t="str">
        <f>IFERROR(__xludf.DUMMYFUNCTION("if(isblank($C11),"""",sum(query($C$28:$AA$176,""select E where C = '""&amp;$C11&amp;""'"",0)))"),"  ")</f>
        <v/>
      </c>
      <c r="F11" s="392" t="str">
        <f>IFERROR(__xludf.DUMMYFUNCTION("if(isblank($C11),"""",sum(query($C$28:$AA$176,""select F where C = '""&amp;$C11&amp;""'"",0)))"),"  ")</f>
        <v/>
      </c>
      <c r="G11" s="392" t="str">
        <f>IFERROR(__xludf.DUMMYFUNCTION("if(isblank($C11),"""",sum(query($C$28:$AA$176,""select G where C = '""&amp;$C11&amp;""'"",0)))"),"  ")</f>
        <v/>
      </c>
      <c r="H11" s="392" t="str">
        <f>IFERROR(__xludf.DUMMYFUNCTION("if(isblank($C11),"""",sum(query($C$28:$AA$176,""select H where C = '""&amp;$C11&amp;""'"",0)))"),"  ")</f>
        <v/>
      </c>
      <c r="I11" s="392" t="str">
        <f>IFERROR(__xludf.DUMMYFUNCTION("if(isblank($C11),"""",sum(query($C$28:$AA$176,""select I where C = '""&amp;$C11&amp;""'"",0)))"),"  ")</f>
        <v/>
      </c>
      <c r="J11" s="392" t="str">
        <f>IFERROR(__xludf.DUMMYFUNCTION("if(isblank($C11),"""",sum(query($C$28:$AA$176,""select J where C = '""&amp;$C11&amp;""'"",0)))"),"  ")</f>
        <v/>
      </c>
      <c r="K11" s="392" t="str">
        <f>IFERROR(__xludf.DUMMYFUNCTION("if(isblank($C11),"""",sum(query($C$28:$AA$176,""select K where C = '""&amp;$C11&amp;""'"",0)))"),"  ")</f>
        <v/>
      </c>
      <c r="L11" s="392" t="str">
        <f>IFERROR(__xludf.DUMMYFUNCTION("if(isblank($C11),"""",sum(query($C$28:$AA$176,""select L where C = '""&amp;$C11&amp;""'"",0)))"),"  ")</f>
        <v/>
      </c>
      <c r="M11" s="392" t="str">
        <f>IFERROR(__xludf.DUMMYFUNCTION("if(isblank($C11),"""",sum(query($C$28:$AA$176,""select M where C = '""&amp;$C11&amp;""'"",0)))"),"  ")</f>
        <v/>
      </c>
      <c r="N11" s="392" t="str">
        <f>IFERROR(__xludf.DUMMYFUNCTION("if(isblank($C11),"""",sum(query($C$28:$AA$176,""select N where C = '""&amp;$C11&amp;""'"",0)))"),"  ")</f>
        <v/>
      </c>
      <c r="O11" s="392" t="str">
        <f>IFERROR(__xludf.DUMMYFUNCTION("if(isblank($C11),"""",sum(query($C$28:$AA$176,""select O where C = '""&amp;$C11&amp;""'"",0)))"),"  ")</f>
        <v/>
      </c>
      <c r="P11" s="392" t="str">
        <f>IFERROR(__xludf.DUMMYFUNCTION("if(isblank($C11),"""",sum(query($C$28:$AA$176,""select P where C = '""&amp;$C11&amp;""'"",0)))"),"  ")</f>
        <v/>
      </c>
      <c r="Q11" s="392" t="str">
        <f>IFERROR(__xludf.DUMMYFUNCTION("if(isblank($C11),"""",sum(query($C$28:$AA$176,""select Q where C = '""&amp;$C11&amp;""'"",0)))"),"  ")</f>
        <v/>
      </c>
      <c r="R11" s="392" t="str">
        <f>IFERROR(__xludf.DUMMYFUNCTION("if(isblank($C11),"""",sum(query($C$28:$AA$176,""select R where C = '""&amp;$C11&amp;""'"",0)))"),"  ")</f>
        <v/>
      </c>
      <c r="S11" s="392" t="str">
        <f>IFERROR(__xludf.DUMMYFUNCTION("if(isblank($C11),"""",sum(query($C$28:$AA$176,""select S where C = '""&amp;$C11&amp;""'"",0)))"),"  ")</f>
        <v/>
      </c>
      <c r="T11" s="392" t="str">
        <f>IFERROR(__xludf.DUMMYFUNCTION("if(isblank($C11),"""",sum(query($C$28:$AA$176,""select T where C = '""&amp;$C11&amp;""'"",0)))"),"  ")</f>
        <v/>
      </c>
      <c r="U11" s="392" t="str">
        <f>IFERROR(__xludf.DUMMYFUNCTION("if(isblank($C11),"""",sum(query($C$28:$AA$176,""select U where C = '""&amp;$C11&amp;""'"",0)))"),"  ")</f>
        <v/>
      </c>
      <c r="V11" s="392" t="str">
        <f>IFERROR(__xludf.DUMMYFUNCTION("if(isblank($C11),"""",sum(query($C$28:$AA$176,""select V where C = '""&amp;$C11&amp;""'"",0)))"),"  ")</f>
        <v/>
      </c>
      <c r="W11" s="392" t="str">
        <f>IFERROR(__xludf.DUMMYFUNCTION("if(isblank($C11),"""",sum(query($C$28:$AA$176,""select W where C = '""&amp;$C11&amp;""'"",0)))"),"  ")</f>
        <v/>
      </c>
      <c r="X11" s="392" t="str">
        <f>IFERROR(__xludf.DUMMYFUNCTION("if(isblank($C11),"""",sum(query($C$28:$AA$176,""select X where C = '""&amp;$C11&amp;""'"",0)))"),"  ")</f>
        <v/>
      </c>
      <c r="Y11" s="392" t="str">
        <f>IFERROR(__xludf.DUMMYFUNCTION("if(isblank($C11),"""",sum(query($C$28:$AA$176,""select Y where C = '""&amp;$C11&amp;""'"",0)))"),"  ")</f>
        <v/>
      </c>
      <c r="Z11" s="392">
        <f>IFERROR(__xludf.DUMMYFUNCTION("if(isblank($C11),0,sum(query($C$28:$AA$176,""select Z where C = '""&amp;$C11&amp;""'"",0)))"),0.0)</f>
        <v>0</v>
      </c>
      <c r="AA11" s="393" t="str">
        <f>IFERROR(__xludf.DUMMYFUNCTION("if(isblank($C11),"""",sum(query($C$28:$AA$176,""select AA where C = '""&amp;$C11&amp;""'"",0)))"),"  ")</f>
        <v/>
      </c>
      <c r="AB11" s="21"/>
      <c r="AC11" s="246" t="str">
        <f t="shared" si="3"/>
        <v/>
      </c>
      <c r="AD11" s="246" t="str">
        <f t="shared" si="9"/>
        <v/>
      </c>
      <c r="AE11" s="254" t="str">
        <f t="shared" si="10"/>
        <v/>
      </c>
      <c r="AF11" s="394" t="str">
        <f t="shared" si="4"/>
        <v/>
      </c>
      <c r="AG11" s="394" t="str">
        <f t="shared" si="5"/>
        <v/>
      </c>
      <c r="AH11" s="394" t="str">
        <f t="shared" si="6"/>
        <v/>
      </c>
      <c r="AI11" s="396" t="str">
        <f t="shared" si="7"/>
        <v/>
      </c>
      <c r="AJ11" s="397" t="str">
        <f t="shared" si="8"/>
        <v/>
      </c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</row>
    <row r="12">
      <c r="A12" s="389"/>
      <c r="B12" s="401" t="str">
        <f t="shared" si="2"/>
        <v/>
      </c>
      <c r="C12" s="398"/>
      <c r="D12" s="399" t="str">
        <f>IFERROR(__xludf.DUMMYFUNCTION("if(isblank($C12),"""",sum(query($C$28:$AA$176,""select D where C = '""&amp;$C12&amp;""'"",0)))"),"  ")</f>
        <v/>
      </c>
      <c r="E12" s="399" t="str">
        <f>IFERROR(__xludf.DUMMYFUNCTION("if(isblank($C12),"""",sum(query($C$28:$AA$176,""select E where C = '""&amp;$C12&amp;""'"",0)))"),"  ")</f>
        <v/>
      </c>
      <c r="F12" s="399" t="str">
        <f>IFERROR(__xludf.DUMMYFUNCTION("if(isblank($C12),"""",sum(query($C$28:$AA$176,""select F where C = '""&amp;$C12&amp;""'"",0)))"),"  ")</f>
        <v/>
      </c>
      <c r="G12" s="399" t="str">
        <f>IFERROR(__xludf.DUMMYFUNCTION("if(isblank($C12),"""",sum(query($C$28:$AA$176,""select G where C = '""&amp;$C12&amp;""'"",0)))"),"  ")</f>
        <v/>
      </c>
      <c r="H12" s="399" t="str">
        <f>IFERROR(__xludf.DUMMYFUNCTION("if(isblank($C12),"""",sum(query($C$28:$AA$176,""select H where C = '""&amp;$C12&amp;""'"",0)))"),"  ")</f>
        <v/>
      </c>
      <c r="I12" s="399" t="str">
        <f>IFERROR(__xludf.DUMMYFUNCTION("if(isblank($C12),"""",sum(query($C$28:$AA$176,""select I where C = '""&amp;$C12&amp;""'"",0)))"),"  ")</f>
        <v/>
      </c>
      <c r="J12" s="399" t="str">
        <f>IFERROR(__xludf.DUMMYFUNCTION("if(isblank($C12),"""",sum(query($C$28:$AA$176,""select J where C = '""&amp;$C12&amp;""'"",0)))"),"  ")</f>
        <v/>
      </c>
      <c r="K12" s="399" t="str">
        <f>IFERROR(__xludf.DUMMYFUNCTION("if(isblank($C12),"""",sum(query($C$28:$AA$176,""select K where C = '""&amp;$C12&amp;""'"",0)))"),"  ")</f>
        <v/>
      </c>
      <c r="L12" s="399" t="str">
        <f>IFERROR(__xludf.DUMMYFUNCTION("if(isblank($C12),"""",sum(query($C$28:$AA$176,""select L where C = '""&amp;$C12&amp;""'"",0)))"),"  ")</f>
        <v/>
      </c>
      <c r="M12" s="399" t="str">
        <f>IFERROR(__xludf.DUMMYFUNCTION("if(isblank($C12),"""",sum(query($C$28:$AA$176,""select M where C = '""&amp;$C12&amp;""'"",0)))"),"  ")</f>
        <v/>
      </c>
      <c r="N12" s="399" t="str">
        <f>IFERROR(__xludf.DUMMYFUNCTION("if(isblank($C12),"""",sum(query($C$28:$AA$176,""select N where C = '""&amp;$C12&amp;""'"",0)))"),"  ")</f>
        <v/>
      </c>
      <c r="O12" s="399" t="str">
        <f>IFERROR(__xludf.DUMMYFUNCTION("if(isblank($C12),"""",sum(query($C$28:$AA$176,""select O where C = '""&amp;$C12&amp;""'"",0)))"),"  ")</f>
        <v/>
      </c>
      <c r="P12" s="399" t="str">
        <f>IFERROR(__xludf.DUMMYFUNCTION("if(isblank($C12),"""",sum(query($C$28:$AA$176,""select P where C = '""&amp;$C12&amp;""'"",0)))"),"  ")</f>
        <v/>
      </c>
      <c r="Q12" s="399" t="str">
        <f>IFERROR(__xludf.DUMMYFUNCTION("if(isblank($C12),"""",sum(query($C$28:$AA$176,""select Q where C = '""&amp;$C12&amp;""'"",0)))"),"  ")</f>
        <v/>
      </c>
      <c r="R12" s="399" t="str">
        <f>IFERROR(__xludf.DUMMYFUNCTION("if(isblank($C12),"""",sum(query($C$28:$AA$176,""select R where C = '""&amp;$C12&amp;""'"",0)))"),"  ")</f>
        <v/>
      </c>
      <c r="S12" s="399" t="str">
        <f>IFERROR(__xludf.DUMMYFUNCTION("if(isblank($C12),"""",sum(query($C$28:$AA$176,""select S where C = '""&amp;$C12&amp;""'"",0)))"),"  ")</f>
        <v/>
      </c>
      <c r="T12" s="399" t="str">
        <f>IFERROR(__xludf.DUMMYFUNCTION("if(isblank($C12),"""",sum(query($C$28:$AA$176,""select T where C = '""&amp;$C12&amp;""'"",0)))"),"  ")</f>
        <v/>
      </c>
      <c r="U12" s="399" t="str">
        <f>IFERROR(__xludf.DUMMYFUNCTION("if(isblank($C12),"""",sum(query($C$28:$AA$176,""select U where C = '""&amp;$C12&amp;""'"",0)))"),"  ")</f>
        <v/>
      </c>
      <c r="V12" s="399" t="str">
        <f>IFERROR(__xludf.DUMMYFUNCTION("if(isblank($C12),"""",sum(query($C$28:$AA$176,""select V where C = '""&amp;$C12&amp;""'"",0)))"),"  ")</f>
        <v/>
      </c>
      <c r="W12" s="399" t="str">
        <f>IFERROR(__xludf.DUMMYFUNCTION("if(isblank($C12),"""",sum(query($C$28:$AA$176,""select W where C = '""&amp;$C12&amp;""'"",0)))"),"  ")</f>
        <v/>
      </c>
      <c r="X12" s="399" t="str">
        <f>IFERROR(__xludf.DUMMYFUNCTION("if(isblank($C12),"""",sum(query($C$28:$AA$176,""select X where C = '""&amp;$C12&amp;""'"",0)))"),"  ")</f>
        <v/>
      </c>
      <c r="Y12" s="399" t="str">
        <f>IFERROR(__xludf.DUMMYFUNCTION("if(isblank($C12),"""",sum(query($C$28:$AA$176,""select Y where C = '""&amp;$C12&amp;""'"",0)))"),"  ")</f>
        <v/>
      </c>
      <c r="Z12" s="399">
        <f>IFERROR(__xludf.DUMMYFUNCTION("if(isblank($C12),0,sum(query($C$28:$AA$176,""select Z where C = '""&amp;$C12&amp;""'"",0)))"),0.0)</f>
        <v>0</v>
      </c>
      <c r="AA12" s="400" t="str">
        <f>IFERROR(__xludf.DUMMYFUNCTION("if(isblank($C12),"""",sum(query($C$28:$AA$176,""select AA where C = '""&amp;$C12&amp;""'"",0)))"),"  ")</f>
        <v/>
      </c>
      <c r="AB12" s="21"/>
      <c r="AC12" s="246" t="str">
        <f t="shared" si="3"/>
        <v/>
      </c>
      <c r="AD12" s="246" t="str">
        <f t="shared" si="9"/>
        <v/>
      </c>
      <c r="AE12" s="254" t="str">
        <f t="shared" si="10"/>
        <v/>
      </c>
      <c r="AF12" s="394" t="str">
        <f t="shared" si="4"/>
        <v/>
      </c>
      <c r="AG12" s="394" t="str">
        <f t="shared" si="5"/>
        <v/>
      </c>
      <c r="AH12" s="394" t="str">
        <f t="shared" si="6"/>
        <v/>
      </c>
      <c r="AI12" s="396" t="str">
        <f t="shared" si="7"/>
        <v/>
      </c>
      <c r="AJ12" s="397" t="str">
        <f t="shared" si="8"/>
        <v/>
      </c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</row>
    <row r="13">
      <c r="A13" s="389"/>
      <c r="B13" s="401" t="str">
        <f t="shared" si="2"/>
        <v/>
      </c>
      <c r="C13" s="398"/>
      <c r="D13" s="392" t="str">
        <f>IFERROR(__xludf.DUMMYFUNCTION("if(isblank($C13),"""",sum(query($C$28:$AA$176,""select D where C = '""&amp;$C13&amp;""'"",0)))"),"  ")</f>
        <v/>
      </c>
      <c r="E13" s="392" t="str">
        <f>IFERROR(__xludf.DUMMYFUNCTION("if(isblank($C13),"""",sum(query($C$28:$AA$176,""select E where C = '""&amp;$C13&amp;""'"",0)))"),"  ")</f>
        <v/>
      </c>
      <c r="F13" s="392" t="str">
        <f>IFERROR(__xludf.DUMMYFUNCTION("if(isblank($C13),"""",sum(query($C$28:$AA$176,""select F where C = '""&amp;$C13&amp;""'"",0)))"),"  ")</f>
        <v/>
      </c>
      <c r="G13" s="392" t="str">
        <f>IFERROR(__xludf.DUMMYFUNCTION("if(isblank($C13),"""",sum(query($C$28:$AA$176,""select G where C = '""&amp;$C13&amp;""'"",0)))"),"  ")</f>
        <v/>
      </c>
      <c r="H13" s="392" t="str">
        <f>IFERROR(__xludf.DUMMYFUNCTION("if(isblank($C13),"""",sum(query($C$28:$AA$176,""select H where C = '""&amp;$C13&amp;""'"",0)))"),"  ")</f>
        <v/>
      </c>
      <c r="I13" s="392" t="str">
        <f>IFERROR(__xludf.DUMMYFUNCTION("if(isblank($C13),"""",sum(query($C$28:$AA$176,""select I where C = '""&amp;$C13&amp;""'"",0)))"),"  ")</f>
        <v/>
      </c>
      <c r="J13" s="392" t="str">
        <f>IFERROR(__xludf.DUMMYFUNCTION("if(isblank($C13),"""",sum(query($C$28:$AA$176,""select J where C = '""&amp;$C13&amp;""'"",0)))"),"  ")</f>
        <v/>
      </c>
      <c r="K13" s="392" t="str">
        <f>IFERROR(__xludf.DUMMYFUNCTION("if(isblank($C13),"""",sum(query($C$28:$AA$176,""select K where C = '""&amp;$C13&amp;""'"",0)))"),"  ")</f>
        <v/>
      </c>
      <c r="L13" s="392" t="str">
        <f>IFERROR(__xludf.DUMMYFUNCTION("if(isblank($C13),"""",sum(query($C$28:$AA$176,""select L where C = '""&amp;$C13&amp;""'"",0)))"),"  ")</f>
        <v/>
      </c>
      <c r="M13" s="392" t="str">
        <f>IFERROR(__xludf.DUMMYFUNCTION("if(isblank($C13),"""",sum(query($C$28:$AA$176,""select M where C = '""&amp;$C13&amp;""'"",0)))"),"  ")</f>
        <v/>
      </c>
      <c r="N13" s="392" t="str">
        <f>IFERROR(__xludf.DUMMYFUNCTION("if(isblank($C13),"""",sum(query($C$28:$AA$176,""select N where C = '""&amp;$C13&amp;""'"",0)))"),"  ")</f>
        <v/>
      </c>
      <c r="O13" s="392" t="str">
        <f>IFERROR(__xludf.DUMMYFUNCTION("if(isblank($C13),"""",sum(query($C$28:$AA$176,""select O where C = '""&amp;$C13&amp;""'"",0)))"),"  ")</f>
        <v/>
      </c>
      <c r="P13" s="392" t="str">
        <f>IFERROR(__xludf.DUMMYFUNCTION("if(isblank($C13),"""",sum(query($C$28:$AA$176,""select P where C = '""&amp;$C13&amp;""'"",0)))"),"  ")</f>
        <v/>
      </c>
      <c r="Q13" s="392" t="str">
        <f>IFERROR(__xludf.DUMMYFUNCTION("if(isblank($C13),"""",sum(query($C$28:$AA$176,""select Q where C = '""&amp;$C13&amp;""'"",0)))"),"  ")</f>
        <v/>
      </c>
      <c r="R13" s="392" t="str">
        <f>IFERROR(__xludf.DUMMYFUNCTION("if(isblank($C13),"""",sum(query($C$28:$AA$176,""select R where C = '""&amp;$C13&amp;""'"",0)))"),"  ")</f>
        <v/>
      </c>
      <c r="S13" s="392" t="str">
        <f>IFERROR(__xludf.DUMMYFUNCTION("if(isblank($C13),"""",sum(query($C$28:$AA$176,""select S where C = '""&amp;$C13&amp;""'"",0)))"),"  ")</f>
        <v/>
      </c>
      <c r="T13" s="392" t="str">
        <f>IFERROR(__xludf.DUMMYFUNCTION("if(isblank($C13),"""",sum(query($C$28:$AA$176,""select T where C = '""&amp;$C13&amp;""'"",0)))"),"  ")</f>
        <v/>
      </c>
      <c r="U13" s="392" t="str">
        <f>IFERROR(__xludf.DUMMYFUNCTION("if(isblank($C13),"""",sum(query($C$28:$AA$176,""select U where C = '""&amp;$C13&amp;""'"",0)))"),"  ")</f>
        <v/>
      </c>
      <c r="V13" s="392" t="str">
        <f>IFERROR(__xludf.DUMMYFUNCTION("if(isblank($C13),"""",sum(query($C$28:$AA$176,""select V where C = '""&amp;$C13&amp;""'"",0)))"),"  ")</f>
        <v/>
      </c>
      <c r="W13" s="392" t="str">
        <f>IFERROR(__xludf.DUMMYFUNCTION("if(isblank($C13),"""",sum(query($C$28:$AA$176,""select W where C = '""&amp;$C13&amp;""'"",0)))"),"  ")</f>
        <v/>
      </c>
      <c r="X13" s="392" t="str">
        <f>IFERROR(__xludf.DUMMYFUNCTION("if(isblank($C13),"""",sum(query($C$28:$AA$176,""select X where C = '""&amp;$C13&amp;""'"",0)))"),"  ")</f>
        <v/>
      </c>
      <c r="Y13" s="392" t="str">
        <f>IFERROR(__xludf.DUMMYFUNCTION("if(isblank($C13),"""",sum(query($C$28:$AA$176,""select Y where C = '""&amp;$C13&amp;""'"",0)))"),"  ")</f>
        <v/>
      </c>
      <c r="Z13" s="392">
        <f>IFERROR(__xludf.DUMMYFUNCTION("if(isblank($C13),0,sum(query($C$28:$AA$176,""select Z where C = '""&amp;$C13&amp;""'"",0)))"),0.0)</f>
        <v>0</v>
      </c>
      <c r="AA13" s="393" t="str">
        <f>IFERROR(__xludf.DUMMYFUNCTION("if(isblank($C13),"""",sum(query($C$28:$AA$176,""select AA where C = '""&amp;$C13&amp;""'"",0)))"),"  ")</f>
        <v/>
      </c>
      <c r="AB13" s="21"/>
      <c r="AC13" s="246" t="str">
        <f t="shared" si="3"/>
        <v/>
      </c>
      <c r="AD13" s="246" t="str">
        <f t="shared" si="9"/>
        <v/>
      </c>
      <c r="AE13" s="254" t="str">
        <f t="shared" si="10"/>
        <v/>
      </c>
      <c r="AF13" s="394" t="str">
        <f t="shared" si="4"/>
        <v/>
      </c>
      <c r="AG13" s="394" t="str">
        <f t="shared" si="5"/>
        <v/>
      </c>
      <c r="AH13" s="394" t="str">
        <f t="shared" si="6"/>
        <v/>
      </c>
      <c r="AI13" s="396" t="str">
        <f t="shared" si="7"/>
        <v/>
      </c>
      <c r="AJ13" s="397" t="str">
        <f t="shared" si="8"/>
        <v/>
      </c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</row>
    <row r="14">
      <c r="A14" s="389"/>
      <c r="B14" s="401" t="str">
        <f t="shared" si="2"/>
        <v/>
      </c>
      <c r="C14" s="398"/>
      <c r="D14" s="399" t="str">
        <f>IFERROR(__xludf.DUMMYFUNCTION("if(isblank($C14),"""",sum(query($C$28:$AA$176,""select D where C = '""&amp;$C14&amp;""'"",0)))"),"  ")</f>
        <v/>
      </c>
      <c r="E14" s="399" t="str">
        <f>IFERROR(__xludf.DUMMYFUNCTION("if(isblank($C14),"""",sum(query($C$28:$AA$176,""select E where C = '""&amp;$C14&amp;""'"",0)))"),"  ")</f>
        <v/>
      </c>
      <c r="F14" s="399" t="str">
        <f>IFERROR(__xludf.DUMMYFUNCTION("if(isblank($C14),"""",sum(query($C$28:$AA$176,""select F where C = '""&amp;$C14&amp;""'"",0)))"),"  ")</f>
        <v/>
      </c>
      <c r="G14" s="399" t="str">
        <f>IFERROR(__xludf.DUMMYFUNCTION("if(isblank($C14),"""",sum(query($C$28:$AA$176,""select G where C = '""&amp;$C14&amp;""'"",0)))"),"  ")</f>
        <v/>
      </c>
      <c r="H14" s="399" t="str">
        <f>IFERROR(__xludf.DUMMYFUNCTION("if(isblank($C14),"""",sum(query($C$28:$AA$176,""select H where C = '""&amp;$C14&amp;""'"",0)))"),"  ")</f>
        <v/>
      </c>
      <c r="I14" s="399" t="str">
        <f>IFERROR(__xludf.DUMMYFUNCTION("if(isblank($C14),"""",sum(query($C$28:$AA$176,""select I where C = '""&amp;$C14&amp;""'"",0)))"),"  ")</f>
        <v/>
      </c>
      <c r="J14" s="399" t="str">
        <f>IFERROR(__xludf.DUMMYFUNCTION("if(isblank($C14),"""",sum(query($C$28:$AA$176,""select J where C = '""&amp;$C14&amp;""'"",0)))"),"  ")</f>
        <v/>
      </c>
      <c r="K14" s="399" t="str">
        <f>IFERROR(__xludf.DUMMYFUNCTION("if(isblank($C14),"""",sum(query($C$28:$AA$176,""select K where C = '""&amp;$C14&amp;""'"",0)))"),"  ")</f>
        <v/>
      </c>
      <c r="L14" s="399" t="str">
        <f>IFERROR(__xludf.DUMMYFUNCTION("if(isblank($C14),"""",sum(query($C$28:$AA$176,""select L where C = '""&amp;$C14&amp;""'"",0)))"),"  ")</f>
        <v/>
      </c>
      <c r="M14" s="399" t="str">
        <f>IFERROR(__xludf.DUMMYFUNCTION("if(isblank($C14),"""",sum(query($C$28:$AA$176,""select M where C = '""&amp;$C14&amp;""'"",0)))"),"  ")</f>
        <v/>
      </c>
      <c r="N14" s="399" t="str">
        <f>IFERROR(__xludf.DUMMYFUNCTION("if(isblank($C14),"""",sum(query($C$28:$AA$176,""select N where C = '""&amp;$C14&amp;""'"",0)))"),"  ")</f>
        <v/>
      </c>
      <c r="O14" s="399" t="str">
        <f>IFERROR(__xludf.DUMMYFUNCTION("if(isblank($C14),"""",sum(query($C$28:$AA$176,""select O where C = '""&amp;$C14&amp;""'"",0)))"),"  ")</f>
        <v/>
      </c>
      <c r="P14" s="399" t="str">
        <f>IFERROR(__xludf.DUMMYFUNCTION("if(isblank($C14),"""",sum(query($C$28:$AA$176,""select P where C = '""&amp;$C14&amp;""'"",0)))"),"  ")</f>
        <v/>
      </c>
      <c r="Q14" s="399" t="str">
        <f>IFERROR(__xludf.DUMMYFUNCTION("if(isblank($C14),"""",sum(query($C$28:$AA$176,""select Q where C = '""&amp;$C14&amp;""'"",0)))"),"  ")</f>
        <v/>
      </c>
      <c r="R14" s="399" t="str">
        <f>IFERROR(__xludf.DUMMYFUNCTION("if(isblank($C14),"""",sum(query($C$28:$AA$176,""select R where C = '""&amp;$C14&amp;""'"",0)))"),"  ")</f>
        <v/>
      </c>
      <c r="S14" s="399" t="str">
        <f>IFERROR(__xludf.DUMMYFUNCTION("if(isblank($C14),"""",sum(query($C$28:$AA$176,""select S where C = '""&amp;$C14&amp;""'"",0)))"),"  ")</f>
        <v/>
      </c>
      <c r="T14" s="399" t="str">
        <f>IFERROR(__xludf.DUMMYFUNCTION("if(isblank($C14),"""",sum(query($C$28:$AA$176,""select T where C = '""&amp;$C14&amp;""'"",0)))"),"  ")</f>
        <v/>
      </c>
      <c r="U14" s="399" t="str">
        <f>IFERROR(__xludf.DUMMYFUNCTION("if(isblank($C14),"""",sum(query($C$28:$AA$176,""select U where C = '""&amp;$C14&amp;""'"",0)))"),"  ")</f>
        <v/>
      </c>
      <c r="V14" s="399" t="str">
        <f>IFERROR(__xludf.DUMMYFUNCTION("if(isblank($C14),"""",sum(query($C$28:$AA$176,""select V where C = '""&amp;$C14&amp;""'"",0)))"),"  ")</f>
        <v/>
      </c>
      <c r="W14" s="399" t="str">
        <f>IFERROR(__xludf.DUMMYFUNCTION("if(isblank($C14),"""",sum(query($C$28:$AA$176,""select W where C = '""&amp;$C14&amp;""'"",0)))"),"  ")</f>
        <v/>
      </c>
      <c r="X14" s="399" t="str">
        <f>IFERROR(__xludf.DUMMYFUNCTION("if(isblank($C14),"""",sum(query($C$28:$AA$176,""select X where C = '""&amp;$C14&amp;""'"",0)))"),"  ")</f>
        <v/>
      </c>
      <c r="Y14" s="399" t="str">
        <f>IFERROR(__xludf.DUMMYFUNCTION("if(isblank($C14),"""",sum(query($C$28:$AA$176,""select Y where C = '""&amp;$C14&amp;""'"",0)))"),"  ")</f>
        <v/>
      </c>
      <c r="Z14" s="399">
        <f>IFERROR(__xludf.DUMMYFUNCTION("if(isblank($C14),0,sum(query($C$28:$AA$176,""select Z where C = '""&amp;$C14&amp;""'"",0)))"),0.0)</f>
        <v>0</v>
      </c>
      <c r="AA14" s="400" t="str">
        <f>IFERROR(__xludf.DUMMYFUNCTION("if(isblank($C14),"""",sum(query($C$28:$AA$176,""select AA where C = '""&amp;$C14&amp;""'"",0)))"),"  ")</f>
        <v/>
      </c>
      <c r="AB14" s="21"/>
      <c r="AC14" s="246" t="str">
        <f t="shared" si="3"/>
        <v/>
      </c>
      <c r="AD14" s="246" t="str">
        <f t="shared" si="9"/>
        <v/>
      </c>
      <c r="AE14" s="254" t="str">
        <f t="shared" si="10"/>
        <v/>
      </c>
      <c r="AF14" s="394" t="str">
        <f t="shared" si="4"/>
        <v/>
      </c>
      <c r="AG14" s="394" t="str">
        <f t="shared" si="5"/>
        <v/>
      </c>
      <c r="AH14" s="394" t="str">
        <f t="shared" si="6"/>
        <v/>
      </c>
      <c r="AI14" s="396" t="str">
        <f t="shared" si="7"/>
        <v/>
      </c>
      <c r="AJ14" s="397" t="str">
        <f t="shared" si="8"/>
        <v/>
      </c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</row>
    <row r="15">
      <c r="A15" s="389"/>
      <c r="B15" s="401" t="str">
        <f t="shared" si="2"/>
        <v/>
      </c>
      <c r="C15" s="398"/>
      <c r="D15" s="392" t="str">
        <f>IFERROR(__xludf.DUMMYFUNCTION("if(isblank($C15),"""",sum(query($C$28:$AA$176,""select D where C = '""&amp;$C15&amp;""'"",0)))"),"  ")</f>
        <v/>
      </c>
      <c r="E15" s="392" t="str">
        <f>IFERROR(__xludf.DUMMYFUNCTION("if(isblank($C15),"""",sum(query($C$28:$AA$176,""select E where C = '""&amp;$C15&amp;""'"",0)))"),"  ")</f>
        <v/>
      </c>
      <c r="F15" s="392" t="str">
        <f>IFERROR(__xludf.DUMMYFUNCTION("if(isblank($C15),"""",sum(query($C$28:$AA$176,""select F where C = '""&amp;$C15&amp;""'"",0)))"),"  ")</f>
        <v/>
      </c>
      <c r="G15" s="392" t="str">
        <f>IFERROR(__xludf.DUMMYFUNCTION("if(isblank($C15),"""",sum(query($C$28:$AA$176,""select G where C = '""&amp;$C15&amp;""'"",0)))"),"  ")</f>
        <v/>
      </c>
      <c r="H15" s="392" t="str">
        <f>IFERROR(__xludf.DUMMYFUNCTION("if(isblank($C15),"""",sum(query($C$28:$AA$176,""select H where C = '""&amp;$C15&amp;""'"",0)))"),"  ")</f>
        <v/>
      </c>
      <c r="I15" s="392" t="str">
        <f>IFERROR(__xludf.DUMMYFUNCTION("if(isblank($C15),"""",sum(query($C$28:$AA$176,""select I where C = '""&amp;$C15&amp;""'"",0)))"),"  ")</f>
        <v/>
      </c>
      <c r="J15" s="392" t="str">
        <f>IFERROR(__xludf.DUMMYFUNCTION("if(isblank($C15),"""",sum(query($C$28:$AA$176,""select J where C = '""&amp;$C15&amp;""'"",0)))"),"  ")</f>
        <v/>
      </c>
      <c r="K15" s="392" t="str">
        <f>IFERROR(__xludf.DUMMYFUNCTION("if(isblank($C15),"""",sum(query($C$28:$AA$176,""select K where C = '""&amp;$C15&amp;""'"",0)))"),"  ")</f>
        <v/>
      </c>
      <c r="L15" s="392" t="str">
        <f>IFERROR(__xludf.DUMMYFUNCTION("if(isblank($C15),"""",sum(query($C$28:$AA$176,""select L where C = '""&amp;$C15&amp;""'"",0)))"),"  ")</f>
        <v/>
      </c>
      <c r="M15" s="392" t="str">
        <f>IFERROR(__xludf.DUMMYFUNCTION("if(isblank($C15),"""",sum(query($C$28:$AA$176,""select M where C = '""&amp;$C15&amp;""'"",0)))"),"  ")</f>
        <v/>
      </c>
      <c r="N15" s="392" t="str">
        <f>IFERROR(__xludf.DUMMYFUNCTION("if(isblank($C15),"""",sum(query($C$28:$AA$176,""select N where C = '""&amp;$C15&amp;""'"",0)))"),"  ")</f>
        <v/>
      </c>
      <c r="O15" s="392" t="str">
        <f>IFERROR(__xludf.DUMMYFUNCTION("if(isblank($C15),"""",sum(query($C$28:$AA$176,""select O where C = '""&amp;$C15&amp;""'"",0)))"),"  ")</f>
        <v/>
      </c>
      <c r="P15" s="392" t="str">
        <f>IFERROR(__xludf.DUMMYFUNCTION("if(isblank($C15),"""",sum(query($C$28:$AA$176,""select P where C = '""&amp;$C15&amp;""'"",0)))"),"  ")</f>
        <v/>
      </c>
      <c r="Q15" s="392" t="str">
        <f>IFERROR(__xludf.DUMMYFUNCTION("if(isblank($C15),"""",sum(query($C$28:$AA$176,""select Q where C = '""&amp;$C15&amp;""'"",0)))"),"  ")</f>
        <v/>
      </c>
      <c r="R15" s="392" t="str">
        <f>IFERROR(__xludf.DUMMYFUNCTION("if(isblank($C15),"""",sum(query($C$28:$AA$176,""select R where C = '""&amp;$C15&amp;""'"",0)))"),"  ")</f>
        <v/>
      </c>
      <c r="S15" s="392" t="str">
        <f>IFERROR(__xludf.DUMMYFUNCTION("if(isblank($C15),"""",sum(query($C$28:$AA$176,""select S where C = '""&amp;$C15&amp;""'"",0)))"),"  ")</f>
        <v/>
      </c>
      <c r="T15" s="392" t="str">
        <f>IFERROR(__xludf.DUMMYFUNCTION("if(isblank($C15),"""",sum(query($C$28:$AA$176,""select T where C = '""&amp;$C15&amp;""'"",0)))"),"  ")</f>
        <v/>
      </c>
      <c r="U15" s="392" t="str">
        <f>IFERROR(__xludf.DUMMYFUNCTION("if(isblank($C15),"""",sum(query($C$28:$AA$176,""select U where C = '""&amp;$C15&amp;""'"",0)))"),"  ")</f>
        <v/>
      </c>
      <c r="V15" s="392" t="str">
        <f>IFERROR(__xludf.DUMMYFUNCTION("if(isblank($C15),"""",sum(query($C$28:$AA$176,""select V where C = '""&amp;$C15&amp;""'"",0)))"),"  ")</f>
        <v/>
      </c>
      <c r="W15" s="392" t="str">
        <f>IFERROR(__xludf.DUMMYFUNCTION("if(isblank($C15),"""",sum(query($C$28:$AA$176,""select W where C = '""&amp;$C15&amp;""'"",0)))"),"  ")</f>
        <v/>
      </c>
      <c r="X15" s="392" t="str">
        <f>IFERROR(__xludf.DUMMYFUNCTION("if(isblank($C15),"""",sum(query($C$28:$AA$176,""select X where C = '""&amp;$C15&amp;""'"",0)))"),"  ")</f>
        <v/>
      </c>
      <c r="Y15" s="392" t="str">
        <f>IFERROR(__xludf.DUMMYFUNCTION("if(isblank($C15),"""",sum(query($C$28:$AA$176,""select Y where C = '""&amp;$C15&amp;""'"",0)))"),"  ")</f>
        <v/>
      </c>
      <c r="Z15" s="392">
        <f>IFERROR(__xludf.DUMMYFUNCTION("if(isblank($C15),0,sum(query($C$28:$AA$176,""select Z where C = '""&amp;$C15&amp;""'"",0)))"),0.0)</f>
        <v>0</v>
      </c>
      <c r="AA15" s="393" t="str">
        <f>IFERROR(__xludf.DUMMYFUNCTION("if(isblank($C15),"""",sum(query($C$28:$AA$176,""select AA where C = '""&amp;$C15&amp;""'"",0)))"),"  ")</f>
        <v/>
      </c>
      <c r="AB15" s="21"/>
      <c r="AC15" s="246" t="str">
        <f t="shared" si="3"/>
        <v/>
      </c>
      <c r="AD15" s="246" t="str">
        <f t="shared" si="9"/>
        <v/>
      </c>
      <c r="AE15" s="254" t="str">
        <f t="shared" si="10"/>
        <v/>
      </c>
      <c r="AF15" s="394" t="str">
        <f t="shared" si="4"/>
        <v/>
      </c>
      <c r="AG15" s="394" t="str">
        <f t="shared" si="5"/>
        <v/>
      </c>
      <c r="AH15" s="394" t="str">
        <f t="shared" si="6"/>
        <v/>
      </c>
      <c r="AI15" s="396" t="str">
        <f t="shared" si="7"/>
        <v/>
      </c>
      <c r="AJ15" s="397" t="str">
        <f t="shared" si="8"/>
        <v/>
      </c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</row>
    <row r="16">
      <c r="A16" s="389"/>
      <c r="B16" s="401" t="str">
        <f t="shared" si="2"/>
        <v/>
      </c>
      <c r="C16" s="398"/>
      <c r="D16" s="399" t="str">
        <f>IFERROR(__xludf.DUMMYFUNCTION("if(isblank($C16),"""",sum(query($C$28:$AA$176,""select D where C = '""&amp;$C16&amp;""'"",0)))"),"  ")</f>
        <v/>
      </c>
      <c r="E16" s="399" t="str">
        <f>IFERROR(__xludf.DUMMYFUNCTION("if(isblank($C16),"""",sum(query($C$28:$AA$176,""select E where C = '""&amp;$C16&amp;""'"",0)))"),"  ")</f>
        <v/>
      </c>
      <c r="F16" s="399" t="str">
        <f>IFERROR(__xludf.DUMMYFUNCTION("if(isblank($C16),"""",sum(query($C$28:$AA$176,""select F where C = '""&amp;$C16&amp;""'"",0)))"),"  ")</f>
        <v/>
      </c>
      <c r="G16" s="399" t="str">
        <f>IFERROR(__xludf.DUMMYFUNCTION("if(isblank($C16),"""",sum(query($C$28:$AA$176,""select G where C = '""&amp;$C16&amp;""'"",0)))"),"  ")</f>
        <v/>
      </c>
      <c r="H16" s="399" t="str">
        <f>IFERROR(__xludf.DUMMYFUNCTION("if(isblank($C16),"""",sum(query($C$28:$AA$176,""select H where C = '""&amp;$C16&amp;""'"",0)))"),"  ")</f>
        <v/>
      </c>
      <c r="I16" s="399" t="str">
        <f>IFERROR(__xludf.DUMMYFUNCTION("if(isblank($C16),"""",sum(query($C$28:$AA$176,""select I where C = '""&amp;$C16&amp;""'"",0)))"),"  ")</f>
        <v/>
      </c>
      <c r="J16" s="399" t="str">
        <f>IFERROR(__xludf.DUMMYFUNCTION("if(isblank($C16),"""",sum(query($C$28:$AA$176,""select J where C = '""&amp;$C16&amp;""'"",0)))"),"  ")</f>
        <v/>
      </c>
      <c r="K16" s="399" t="str">
        <f>IFERROR(__xludf.DUMMYFUNCTION("if(isblank($C16),"""",sum(query($C$28:$AA$176,""select K where C = '""&amp;$C16&amp;""'"",0)))"),"  ")</f>
        <v/>
      </c>
      <c r="L16" s="399" t="str">
        <f>IFERROR(__xludf.DUMMYFUNCTION("if(isblank($C16),"""",sum(query($C$28:$AA$176,""select L where C = '""&amp;$C16&amp;""'"",0)))"),"  ")</f>
        <v/>
      </c>
      <c r="M16" s="399" t="str">
        <f>IFERROR(__xludf.DUMMYFUNCTION("if(isblank($C16),"""",sum(query($C$28:$AA$176,""select M where C = '""&amp;$C16&amp;""'"",0)))"),"  ")</f>
        <v/>
      </c>
      <c r="N16" s="399" t="str">
        <f>IFERROR(__xludf.DUMMYFUNCTION("if(isblank($C16),"""",sum(query($C$28:$AA$176,""select N where C = '""&amp;$C16&amp;""'"",0)))"),"  ")</f>
        <v/>
      </c>
      <c r="O16" s="399" t="str">
        <f>IFERROR(__xludf.DUMMYFUNCTION("if(isblank($C16),"""",sum(query($C$28:$AA$176,""select O where C = '""&amp;$C16&amp;""'"",0)))"),"  ")</f>
        <v/>
      </c>
      <c r="P16" s="399" t="str">
        <f>IFERROR(__xludf.DUMMYFUNCTION("if(isblank($C16),"""",sum(query($C$28:$AA$176,""select P where C = '""&amp;$C16&amp;""'"",0)))"),"  ")</f>
        <v/>
      </c>
      <c r="Q16" s="399" t="str">
        <f>IFERROR(__xludf.DUMMYFUNCTION("if(isblank($C16),"""",sum(query($C$28:$AA$176,""select Q where C = '""&amp;$C16&amp;""'"",0)))"),"  ")</f>
        <v/>
      </c>
      <c r="R16" s="399" t="str">
        <f>IFERROR(__xludf.DUMMYFUNCTION("if(isblank($C16),"""",sum(query($C$28:$AA$176,""select R where C = '""&amp;$C16&amp;""'"",0)))"),"  ")</f>
        <v/>
      </c>
      <c r="S16" s="399" t="str">
        <f>IFERROR(__xludf.DUMMYFUNCTION("if(isblank($C16),"""",sum(query($C$28:$AA$176,""select S where C = '""&amp;$C16&amp;""'"",0)))"),"  ")</f>
        <v/>
      </c>
      <c r="T16" s="399" t="str">
        <f>IFERROR(__xludf.DUMMYFUNCTION("if(isblank($C16),"""",sum(query($C$28:$AA$176,""select T where C = '""&amp;$C16&amp;""'"",0)))"),"  ")</f>
        <v/>
      </c>
      <c r="U16" s="399" t="str">
        <f>IFERROR(__xludf.DUMMYFUNCTION("if(isblank($C16),"""",sum(query($C$28:$AA$176,""select U where C = '""&amp;$C16&amp;""'"",0)))"),"  ")</f>
        <v/>
      </c>
      <c r="V16" s="399" t="str">
        <f>IFERROR(__xludf.DUMMYFUNCTION("if(isblank($C16),"""",sum(query($C$28:$AA$176,""select V where C = '""&amp;$C16&amp;""'"",0)))"),"  ")</f>
        <v/>
      </c>
      <c r="W16" s="399" t="str">
        <f>IFERROR(__xludf.DUMMYFUNCTION("if(isblank($C16),"""",sum(query($C$28:$AA$176,""select W where C = '""&amp;$C16&amp;""'"",0)))"),"  ")</f>
        <v/>
      </c>
      <c r="X16" s="399" t="str">
        <f>IFERROR(__xludf.DUMMYFUNCTION("if(isblank($C16),"""",sum(query($C$28:$AA$176,""select X where C = '""&amp;$C16&amp;""'"",0)))"),"  ")</f>
        <v/>
      </c>
      <c r="Y16" s="399" t="str">
        <f>IFERROR(__xludf.DUMMYFUNCTION("if(isblank($C16),"""",sum(query($C$28:$AA$176,""select Y where C = '""&amp;$C16&amp;""'"",0)))"),"  ")</f>
        <v/>
      </c>
      <c r="Z16" s="399">
        <f>IFERROR(__xludf.DUMMYFUNCTION("if(isblank($C16),0,sum(query($C$28:$AA$176,""select Z where C = '""&amp;$C16&amp;""'"",0)))"),0.0)</f>
        <v>0</v>
      </c>
      <c r="AA16" s="400" t="str">
        <f>IFERROR(__xludf.DUMMYFUNCTION("if(isblank($C16),"""",sum(query($C$28:$AA$176,""select AA where C = '""&amp;$C16&amp;""'"",0)))"),"  ")</f>
        <v/>
      </c>
      <c r="AB16" s="21"/>
      <c r="AC16" s="246" t="str">
        <f t="shared" si="3"/>
        <v/>
      </c>
      <c r="AD16" s="246" t="str">
        <f t="shared" si="9"/>
        <v/>
      </c>
      <c r="AE16" s="254" t="str">
        <f t="shared" si="10"/>
        <v/>
      </c>
      <c r="AF16" s="394" t="str">
        <f t="shared" si="4"/>
        <v/>
      </c>
      <c r="AG16" s="394" t="str">
        <f t="shared" si="5"/>
        <v/>
      </c>
      <c r="AH16" s="394" t="str">
        <f t="shared" si="6"/>
        <v/>
      </c>
      <c r="AI16" s="396" t="str">
        <f t="shared" si="7"/>
        <v/>
      </c>
      <c r="AJ16" s="397" t="str">
        <f t="shared" si="8"/>
        <v/>
      </c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</row>
    <row r="17">
      <c r="A17" s="389"/>
      <c r="B17" s="401" t="str">
        <f t="shared" si="2"/>
        <v/>
      </c>
      <c r="C17" s="398"/>
      <c r="D17" s="392" t="str">
        <f>IFERROR(__xludf.DUMMYFUNCTION("if(isblank($C17),"""",sum(query($C$28:$AA$176,""select D where C = '""&amp;$C17&amp;""'"",0)))"),"  ")</f>
        <v/>
      </c>
      <c r="E17" s="392" t="str">
        <f>IFERROR(__xludf.DUMMYFUNCTION("if(isblank($C17),"""",sum(query($C$28:$AA$176,""select E where C = '""&amp;$C17&amp;""'"",0)))"),"  ")</f>
        <v/>
      </c>
      <c r="F17" s="392" t="str">
        <f>IFERROR(__xludf.DUMMYFUNCTION("if(isblank($C17),"""",sum(query($C$28:$AA$176,""select F where C = '""&amp;$C17&amp;""'"",0)))"),"  ")</f>
        <v/>
      </c>
      <c r="G17" s="392" t="str">
        <f>IFERROR(__xludf.DUMMYFUNCTION("if(isblank($C17),"""",sum(query($C$28:$AA$176,""select G where C = '""&amp;$C17&amp;""'"",0)))"),"  ")</f>
        <v/>
      </c>
      <c r="H17" s="392" t="str">
        <f>IFERROR(__xludf.DUMMYFUNCTION("if(isblank($C17),"""",sum(query($C$28:$AA$176,""select H where C = '""&amp;$C17&amp;""'"",0)))"),"  ")</f>
        <v/>
      </c>
      <c r="I17" s="392" t="str">
        <f>IFERROR(__xludf.DUMMYFUNCTION("if(isblank($C17),"""",sum(query($C$28:$AA$176,""select I where C = '""&amp;$C17&amp;""'"",0)))"),"  ")</f>
        <v/>
      </c>
      <c r="J17" s="392" t="str">
        <f>IFERROR(__xludf.DUMMYFUNCTION("if(isblank($C17),"""",sum(query($C$28:$AA$176,""select J where C = '""&amp;$C17&amp;""'"",0)))"),"  ")</f>
        <v/>
      </c>
      <c r="K17" s="392" t="str">
        <f>IFERROR(__xludf.DUMMYFUNCTION("if(isblank($C17),"""",sum(query($C$28:$AA$176,""select K where C = '""&amp;$C17&amp;""'"",0)))"),"  ")</f>
        <v/>
      </c>
      <c r="L17" s="392" t="str">
        <f>IFERROR(__xludf.DUMMYFUNCTION("if(isblank($C17),"""",sum(query($C$28:$AA$176,""select L where C = '""&amp;$C17&amp;""'"",0)))"),"  ")</f>
        <v/>
      </c>
      <c r="M17" s="392" t="str">
        <f>IFERROR(__xludf.DUMMYFUNCTION("if(isblank($C17),"""",sum(query($C$28:$AA$176,""select M where C = '""&amp;$C17&amp;""'"",0)))"),"  ")</f>
        <v/>
      </c>
      <c r="N17" s="392" t="str">
        <f>IFERROR(__xludf.DUMMYFUNCTION("if(isblank($C17),"""",sum(query($C$28:$AA$176,""select N where C = '""&amp;$C17&amp;""'"",0)))"),"  ")</f>
        <v/>
      </c>
      <c r="O17" s="392" t="str">
        <f>IFERROR(__xludf.DUMMYFUNCTION("if(isblank($C17),"""",sum(query($C$28:$AA$176,""select O where C = '""&amp;$C17&amp;""'"",0)))"),"  ")</f>
        <v/>
      </c>
      <c r="P17" s="392" t="str">
        <f>IFERROR(__xludf.DUMMYFUNCTION("if(isblank($C17),"""",sum(query($C$28:$AA$176,""select P where C = '""&amp;$C17&amp;""'"",0)))"),"  ")</f>
        <v/>
      </c>
      <c r="Q17" s="392" t="str">
        <f>IFERROR(__xludf.DUMMYFUNCTION("if(isblank($C17),"""",sum(query($C$28:$AA$176,""select Q where C = '""&amp;$C17&amp;""'"",0)))"),"  ")</f>
        <v/>
      </c>
      <c r="R17" s="392" t="str">
        <f>IFERROR(__xludf.DUMMYFUNCTION("if(isblank($C17),"""",sum(query($C$28:$AA$176,""select R where C = '""&amp;$C17&amp;""'"",0)))"),"  ")</f>
        <v/>
      </c>
      <c r="S17" s="392" t="str">
        <f>IFERROR(__xludf.DUMMYFUNCTION("if(isblank($C17),"""",sum(query($C$28:$AA$176,""select S where C = '""&amp;$C17&amp;""'"",0)))"),"  ")</f>
        <v/>
      </c>
      <c r="T17" s="392" t="str">
        <f>IFERROR(__xludf.DUMMYFUNCTION("if(isblank($C17),"""",sum(query($C$28:$AA$176,""select T where C = '""&amp;$C17&amp;""'"",0)))"),"  ")</f>
        <v/>
      </c>
      <c r="U17" s="392" t="str">
        <f>IFERROR(__xludf.DUMMYFUNCTION("if(isblank($C17),"""",sum(query($C$28:$AA$176,""select U where C = '""&amp;$C17&amp;""'"",0)))"),"  ")</f>
        <v/>
      </c>
      <c r="V17" s="392" t="str">
        <f>IFERROR(__xludf.DUMMYFUNCTION("if(isblank($C17),"""",sum(query($C$28:$AA$176,""select V where C = '""&amp;$C17&amp;""'"",0)))"),"  ")</f>
        <v/>
      </c>
      <c r="W17" s="392" t="str">
        <f>IFERROR(__xludf.DUMMYFUNCTION("if(isblank($C17),"""",sum(query($C$28:$AA$176,""select W where C = '""&amp;$C17&amp;""'"",0)))"),"  ")</f>
        <v/>
      </c>
      <c r="X17" s="392" t="str">
        <f>IFERROR(__xludf.DUMMYFUNCTION("if(isblank($C17),"""",sum(query($C$28:$AA$176,""select X where C = '""&amp;$C17&amp;""'"",0)))"),"  ")</f>
        <v/>
      </c>
      <c r="Y17" s="392" t="str">
        <f>IFERROR(__xludf.DUMMYFUNCTION("if(isblank($C17),"""",sum(query($C$28:$AA$176,""select Y where C = '""&amp;$C17&amp;""'"",0)))"),"  ")</f>
        <v/>
      </c>
      <c r="Z17" s="392">
        <f>IFERROR(__xludf.DUMMYFUNCTION("if(isblank($C17),0,sum(query($C$28:$AA$176,""select Z where C = '""&amp;$C17&amp;""'"",0)))"),0.0)</f>
        <v>0</v>
      </c>
      <c r="AA17" s="393" t="str">
        <f>IFERROR(__xludf.DUMMYFUNCTION("if(isblank($C17),"""",sum(query($C$28:$AA$176,""select AA where C = '""&amp;$C17&amp;""'"",0)))"),"  ")</f>
        <v/>
      </c>
      <c r="AB17" s="21"/>
      <c r="AC17" s="246" t="str">
        <f t="shared" si="3"/>
        <v/>
      </c>
      <c r="AD17" s="246" t="str">
        <f t="shared" si="9"/>
        <v/>
      </c>
      <c r="AE17" s="254" t="str">
        <f t="shared" si="10"/>
        <v/>
      </c>
      <c r="AF17" s="394" t="str">
        <f t="shared" si="4"/>
        <v/>
      </c>
      <c r="AG17" s="394" t="str">
        <f t="shared" si="5"/>
        <v/>
      </c>
      <c r="AH17" s="394" t="str">
        <f t="shared" si="6"/>
        <v/>
      </c>
      <c r="AI17" s="396" t="str">
        <f t="shared" si="7"/>
        <v/>
      </c>
      <c r="AJ17" s="397" t="str">
        <f t="shared" si="8"/>
        <v/>
      </c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</row>
    <row r="18">
      <c r="A18" s="389"/>
      <c r="B18" s="401" t="str">
        <f t="shared" si="2"/>
        <v/>
      </c>
      <c r="C18" s="398"/>
      <c r="D18" s="399" t="str">
        <f>IFERROR(__xludf.DUMMYFUNCTION("if(isblank($C18),"""",sum(query($C$28:$AA$176,""select D where C = '""&amp;$C18&amp;""'"",0)))"),"  ")</f>
        <v/>
      </c>
      <c r="E18" s="399" t="str">
        <f>IFERROR(__xludf.DUMMYFUNCTION("if(isblank($C18),"""",sum(query($C$28:$AA$176,""select E where C = '""&amp;$C18&amp;""'"",0)))"),"  ")</f>
        <v/>
      </c>
      <c r="F18" s="399" t="str">
        <f>IFERROR(__xludf.DUMMYFUNCTION("if(isblank($C18),"""",sum(query($C$28:$AA$176,""select F where C = '""&amp;$C18&amp;""'"",0)))"),"  ")</f>
        <v/>
      </c>
      <c r="G18" s="399" t="str">
        <f>IFERROR(__xludf.DUMMYFUNCTION("if(isblank($C18),"""",sum(query($C$28:$AA$176,""select G where C = '""&amp;$C18&amp;""'"",0)))"),"  ")</f>
        <v/>
      </c>
      <c r="H18" s="399" t="str">
        <f>IFERROR(__xludf.DUMMYFUNCTION("if(isblank($C18),"""",sum(query($C$28:$AA$176,""select H where C = '""&amp;$C18&amp;""'"",0)))"),"  ")</f>
        <v/>
      </c>
      <c r="I18" s="399" t="str">
        <f>IFERROR(__xludf.DUMMYFUNCTION("if(isblank($C18),"""",sum(query($C$28:$AA$176,""select I where C = '""&amp;$C18&amp;""'"",0)))"),"  ")</f>
        <v/>
      </c>
      <c r="J18" s="399" t="str">
        <f>IFERROR(__xludf.DUMMYFUNCTION("if(isblank($C18),"""",sum(query($C$28:$AA$176,""select J where C = '""&amp;$C18&amp;""'"",0)))"),"  ")</f>
        <v/>
      </c>
      <c r="K18" s="399" t="str">
        <f>IFERROR(__xludf.DUMMYFUNCTION("if(isblank($C18),"""",sum(query($C$28:$AA$176,""select K where C = '""&amp;$C18&amp;""'"",0)))"),"  ")</f>
        <v/>
      </c>
      <c r="L18" s="399" t="str">
        <f>IFERROR(__xludf.DUMMYFUNCTION("if(isblank($C18),"""",sum(query($C$28:$AA$176,""select L where C = '""&amp;$C18&amp;""'"",0)))"),"  ")</f>
        <v/>
      </c>
      <c r="M18" s="399" t="str">
        <f>IFERROR(__xludf.DUMMYFUNCTION("if(isblank($C18),"""",sum(query($C$28:$AA$176,""select M where C = '""&amp;$C18&amp;""'"",0)))"),"  ")</f>
        <v/>
      </c>
      <c r="N18" s="399" t="str">
        <f>IFERROR(__xludf.DUMMYFUNCTION("if(isblank($C18),"""",sum(query($C$28:$AA$176,""select N where C = '""&amp;$C18&amp;""'"",0)))"),"  ")</f>
        <v/>
      </c>
      <c r="O18" s="399" t="str">
        <f>IFERROR(__xludf.DUMMYFUNCTION("if(isblank($C18),"""",sum(query($C$28:$AA$176,""select O where C = '""&amp;$C18&amp;""'"",0)))"),"  ")</f>
        <v/>
      </c>
      <c r="P18" s="399" t="str">
        <f>IFERROR(__xludf.DUMMYFUNCTION("if(isblank($C18),"""",sum(query($C$28:$AA$176,""select P where C = '""&amp;$C18&amp;""'"",0)))"),"  ")</f>
        <v/>
      </c>
      <c r="Q18" s="399" t="str">
        <f>IFERROR(__xludf.DUMMYFUNCTION("if(isblank($C18),"""",sum(query($C$28:$AA$176,""select Q where C = '""&amp;$C18&amp;""'"",0)))"),"  ")</f>
        <v/>
      </c>
      <c r="R18" s="399" t="str">
        <f>IFERROR(__xludf.DUMMYFUNCTION("if(isblank($C18),"""",sum(query($C$28:$AA$176,""select R where C = '""&amp;$C18&amp;""'"",0)))"),"  ")</f>
        <v/>
      </c>
      <c r="S18" s="399" t="str">
        <f>IFERROR(__xludf.DUMMYFUNCTION("if(isblank($C18),"""",sum(query($C$28:$AA$176,""select S where C = '""&amp;$C18&amp;""'"",0)))"),"  ")</f>
        <v/>
      </c>
      <c r="T18" s="399" t="str">
        <f>IFERROR(__xludf.DUMMYFUNCTION("if(isblank($C18),"""",sum(query($C$28:$AA$176,""select T where C = '""&amp;$C18&amp;""'"",0)))"),"  ")</f>
        <v/>
      </c>
      <c r="U18" s="399" t="str">
        <f>IFERROR(__xludf.DUMMYFUNCTION("if(isblank($C18),"""",sum(query($C$28:$AA$176,""select U where C = '""&amp;$C18&amp;""'"",0)))"),"  ")</f>
        <v/>
      </c>
      <c r="V18" s="399" t="str">
        <f>IFERROR(__xludf.DUMMYFUNCTION("if(isblank($C18),"""",sum(query($C$28:$AA$176,""select V where C = '""&amp;$C18&amp;""'"",0)))"),"  ")</f>
        <v/>
      </c>
      <c r="W18" s="399" t="str">
        <f>IFERROR(__xludf.DUMMYFUNCTION("if(isblank($C18),"""",sum(query($C$28:$AA$176,""select W where C = '""&amp;$C18&amp;""'"",0)))"),"  ")</f>
        <v/>
      </c>
      <c r="X18" s="399" t="str">
        <f>IFERROR(__xludf.DUMMYFUNCTION("if(isblank($C18),"""",sum(query($C$28:$AA$176,""select X where C = '""&amp;$C18&amp;""'"",0)))"),"  ")</f>
        <v/>
      </c>
      <c r="Y18" s="399" t="str">
        <f>IFERROR(__xludf.DUMMYFUNCTION("if(isblank($C18),"""",sum(query($C$28:$AA$176,""select Y where C = '""&amp;$C18&amp;""'"",0)))"),"  ")</f>
        <v/>
      </c>
      <c r="Z18" s="399">
        <f>IFERROR(__xludf.DUMMYFUNCTION("if(isblank($C18),0,sum(query($C$28:$AA$176,""select Z where C = '""&amp;$C18&amp;""'"",0)))"),0.0)</f>
        <v>0</v>
      </c>
      <c r="AA18" s="400" t="str">
        <f>IFERROR(__xludf.DUMMYFUNCTION("if(isblank($C18),"""",sum(query($C$28:$AA$176,""select AA where C = '""&amp;$C18&amp;""'"",0)))"),"  ")</f>
        <v/>
      </c>
      <c r="AB18" s="21"/>
      <c r="AC18" s="246" t="str">
        <f t="shared" si="3"/>
        <v/>
      </c>
      <c r="AD18" s="246" t="str">
        <f t="shared" si="9"/>
        <v/>
      </c>
      <c r="AE18" s="254" t="str">
        <f t="shared" si="10"/>
        <v/>
      </c>
      <c r="AF18" s="394" t="str">
        <f t="shared" si="4"/>
        <v/>
      </c>
      <c r="AG18" s="394" t="str">
        <f t="shared" si="5"/>
        <v/>
      </c>
      <c r="AH18" s="394" t="str">
        <f t="shared" si="6"/>
        <v/>
      </c>
      <c r="AI18" s="396" t="str">
        <f t="shared" si="7"/>
        <v/>
      </c>
      <c r="AJ18" s="397" t="str">
        <f t="shared" si="8"/>
        <v/>
      </c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</row>
    <row r="19">
      <c r="A19" s="389"/>
      <c r="B19" s="401" t="str">
        <f t="shared" si="2"/>
        <v/>
      </c>
      <c r="C19" s="398"/>
      <c r="D19" s="392" t="str">
        <f>IFERROR(__xludf.DUMMYFUNCTION("if(isblank($C19),"""",sum(query($C$28:$AA$176,""select D where C = '""&amp;$C19&amp;""'"",0)))"),"  ")</f>
        <v/>
      </c>
      <c r="E19" s="392" t="str">
        <f>IFERROR(__xludf.DUMMYFUNCTION("if(isblank($C19),"""",sum(query($C$28:$AA$176,""select E where C = '""&amp;$C19&amp;""'"",0)))"),"  ")</f>
        <v/>
      </c>
      <c r="F19" s="392" t="str">
        <f>IFERROR(__xludf.DUMMYFUNCTION("if(isblank($C19),"""",sum(query($C$28:$AA$176,""select F where C = '""&amp;$C19&amp;""'"",0)))"),"  ")</f>
        <v/>
      </c>
      <c r="G19" s="392" t="str">
        <f>IFERROR(__xludf.DUMMYFUNCTION("if(isblank($C19),"""",sum(query($C$28:$AA$176,""select G where C = '""&amp;$C19&amp;""'"",0)))"),"  ")</f>
        <v/>
      </c>
      <c r="H19" s="392" t="str">
        <f>IFERROR(__xludf.DUMMYFUNCTION("if(isblank($C19),"""",sum(query($C$28:$AA$176,""select H where C = '""&amp;$C19&amp;""'"",0)))"),"  ")</f>
        <v/>
      </c>
      <c r="I19" s="392" t="str">
        <f>IFERROR(__xludf.DUMMYFUNCTION("if(isblank($C19),"""",sum(query($C$28:$AA$176,""select I where C = '""&amp;$C19&amp;""'"",0)))"),"  ")</f>
        <v/>
      </c>
      <c r="J19" s="392" t="str">
        <f>IFERROR(__xludf.DUMMYFUNCTION("if(isblank($C19),"""",sum(query($C$28:$AA$176,""select J where C = '""&amp;$C19&amp;""'"",0)))"),"  ")</f>
        <v/>
      </c>
      <c r="K19" s="392" t="str">
        <f>IFERROR(__xludf.DUMMYFUNCTION("if(isblank($C19),"""",sum(query($C$28:$AA$176,""select K where C = '""&amp;$C19&amp;""'"",0)))"),"  ")</f>
        <v/>
      </c>
      <c r="L19" s="392" t="str">
        <f>IFERROR(__xludf.DUMMYFUNCTION("if(isblank($C19),"""",sum(query($C$28:$AA$176,""select L where C = '""&amp;$C19&amp;""'"",0)))"),"  ")</f>
        <v/>
      </c>
      <c r="M19" s="392" t="str">
        <f>IFERROR(__xludf.DUMMYFUNCTION("if(isblank($C19),"""",sum(query($C$28:$AA$176,""select M where C = '""&amp;$C19&amp;""'"",0)))"),"  ")</f>
        <v/>
      </c>
      <c r="N19" s="392" t="str">
        <f>IFERROR(__xludf.DUMMYFUNCTION("if(isblank($C19),"""",sum(query($C$28:$AA$176,""select N where C = '""&amp;$C19&amp;""'"",0)))"),"  ")</f>
        <v/>
      </c>
      <c r="O19" s="392" t="str">
        <f>IFERROR(__xludf.DUMMYFUNCTION("if(isblank($C19),"""",sum(query($C$28:$AA$176,""select O where C = '""&amp;$C19&amp;""'"",0)))"),"  ")</f>
        <v/>
      </c>
      <c r="P19" s="392" t="str">
        <f>IFERROR(__xludf.DUMMYFUNCTION("if(isblank($C19),"""",sum(query($C$28:$AA$176,""select P where C = '""&amp;$C19&amp;""'"",0)))"),"  ")</f>
        <v/>
      </c>
      <c r="Q19" s="392" t="str">
        <f>IFERROR(__xludf.DUMMYFUNCTION("if(isblank($C19),"""",sum(query($C$28:$AA$176,""select Q where C = '""&amp;$C19&amp;""'"",0)))"),"  ")</f>
        <v/>
      </c>
      <c r="R19" s="392" t="str">
        <f>IFERROR(__xludf.DUMMYFUNCTION("if(isblank($C19),"""",sum(query($C$28:$AA$176,""select R where C = '""&amp;$C19&amp;""'"",0)))"),"  ")</f>
        <v/>
      </c>
      <c r="S19" s="392" t="str">
        <f>IFERROR(__xludf.DUMMYFUNCTION("if(isblank($C19),"""",sum(query($C$28:$AA$176,""select S where C = '""&amp;$C19&amp;""'"",0)))"),"  ")</f>
        <v/>
      </c>
      <c r="T19" s="392" t="str">
        <f>IFERROR(__xludf.DUMMYFUNCTION("if(isblank($C19),"""",sum(query($C$28:$AA$176,""select T where C = '""&amp;$C19&amp;""'"",0)))"),"  ")</f>
        <v/>
      </c>
      <c r="U19" s="392" t="str">
        <f>IFERROR(__xludf.DUMMYFUNCTION("if(isblank($C19),"""",sum(query($C$28:$AA$176,""select U where C = '""&amp;$C19&amp;""'"",0)))"),"  ")</f>
        <v/>
      </c>
      <c r="V19" s="392" t="str">
        <f>IFERROR(__xludf.DUMMYFUNCTION("if(isblank($C19),"""",sum(query($C$28:$AA$176,""select V where C = '""&amp;$C19&amp;""'"",0)))"),"  ")</f>
        <v/>
      </c>
      <c r="W19" s="392" t="str">
        <f>IFERROR(__xludf.DUMMYFUNCTION("if(isblank($C19),"""",sum(query($C$28:$AA$176,""select W where C = '""&amp;$C19&amp;""'"",0)))"),"  ")</f>
        <v/>
      </c>
      <c r="X19" s="392" t="str">
        <f>IFERROR(__xludf.DUMMYFUNCTION("if(isblank($C19),"""",sum(query($C$28:$AA$176,""select X where C = '""&amp;$C19&amp;""'"",0)))"),"  ")</f>
        <v/>
      </c>
      <c r="Y19" s="392" t="str">
        <f>IFERROR(__xludf.DUMMYFUNCTION("if(isblank($C19),"""",sum(query($C$28:$AA$176,""select Y where C = '""&amp;$C19&amp;""'"",0)))"),"  ")</f>
        <v/>
      </c>
      <c r="Z19" s="392">
        <f>IFERROR(__xludf.DUMMYFUNCTION("if(isblank($C19),0,sum(query($C$28:$AA$176,""select Z where C = '""&amp;$C19&amp;""'"",0)))"),0.0)</f>
        <v>0</v>
      </c>
      <c r="AA19" s="393" t="str">
        <f>IFERROR(__xludf.DUMMYFUNCTION("if(isblank($C19),"""",sum(query($C$28:$AA$176,""select AA where C = '""&amp;$C19&amp;""'"",0)))"),"  ")</f>
        <v/>
      </c>
      <c r="AB19" s="21"/>
      <c r="AC19" s="246" t="str">
        <f t="shared" si="3"/>
        <v/>
      </c>
      <c r="AD19" s="246" t="str">
        <f t="shared" si="9"/>
        <v/>
      </c>
      <c r="AE19" s="254" t="str">
        <f t="shared" si="10"/>
        <v/>
      </c>
      <c r="AF19" s="394" t="str">
        <f t="shared" si="4"/>
        <v/>
      </c>
      <c r="AG19" s="394" t="str">
        <f t="shared" si="5"/>
        <v/>
      </c>
      <c r="AH19" s="394" t="str">
        <f t="shared" si="6"/>
        <v/>
      </c>
      <c r="AI19" s="396" t="str">
        <f t="shared" si="7"/>
        <v/>
      </c>
      <c r="AJ19" s="397" t="str">
        <f t="shared" si="8"/>
        <v/>
      </c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</row>
    <row r="20">
      <c r="A20" s="389"/>
      <c r="B20" s="401" t="str">
        <f t="shared" si="2"/>
        <v/>
      </c>
      <c r="C20" s="398"/>
      <c r="D20" s="399" t="str">
        <f>IFERROR(__xludf.DUMMYFUNCTION("if(isblank($C20),"""",sum(query($C$28:$AA$176,""select D where C = '""&amp;$C20&amp;""'"",0)))"),"  ")</f>
        <v/>
      </c>
      <c r="E20" s="399" t="str">
        <f>IFERROR(__xludf.DUMMYFUNCTION("if(isblank($C20),"""",sum(query($C$28:$AA$176,""select E where C = '""&amp;$C20&amp;""'"",0)))"),"  ")</f>
        <v/>
      </c>
      <c r="F20" s="399" t="str">
        <f>IFERROR(__xludf.DUMMYFUNCTION("if(isblank($C20),"""",sum(query($C$28:$AA$176,""select F where C = '""&amp;$C20&amp;""'"",0)))"),"  ")</f>
        <v/>
      </c>
      <c r="G20" s="399" t="str">
        <f>IFERROR(__xludf.DUMMYFUNCTION("if(isblank($C20),"""",sum(query($C$28:$AA$176,""select G where C = '""&amp;$C20&amp;""'"",0)))"),"  ")</f>
        <v/>
      </c>
      <c r="H20" s="399" t="str">
        <f>IFERROR(__xludf.DUMMYFUNCTION("if(isblank($C20),"""",sum(query($C$28:$AA$176,""select H where C = '""&amp;$C20&amp;""'"",0)))"),"  ")</f>
        <v/>
      </c>
      <c r="I20" s="399" t="str">
        <f>IFERROR(__xludf.DUMMYFUNCTION("if(isblank($C20),"""",sum(query($C$28:$AA$176,""select I where C = '""&amp;$C20&amp;""'"",0)))"),"  ")</f>
        <v/>
      </c>
      <c r="J20" s="399" t="str">
        <f>IFERROR(__xludf.DUMMYFUNCTION("if(isblank($C20),"""",sum(query($C$28:$AA$176,""select J where C = '""&amp;$C20&amp;""'"",0)))"),"  ")</f>
        <v/>
      </c>
      <c r="K20" s="399" t="str">
        <f>IFERROR(__xludf.DUMMYFUNCTION("if(isblank($C20),"""",sum(query($C$28:$AA$176,""select K where C = '""&amp;$C20&amp;""'"",0)))"),"  ")</f>
        <v/>
      </c>
      <c r="L20" s="399" t="str">
        <f>IFERROR(__xludf.DUMMYFUNCTION("if(isblank($C20),"""",sum(query($C$28:$AA$176,""select L where C = '""&amp;$C20&amp;""'"",0)))"),"  ")</f>
        <v/>
      </c>
      <c r="M20" s="399" t="str">
        <f>IFERROR(__xludf.DUMMYFUNCTION("if(isblank($C20),"""",sum(query($C$28:$AA$176,""select M where C = '""&amp;$C20&amp;""'"",0)))"),"  ")</f>
        <v/>
      </c>
      <c r="N20" s="399" t="str">
        <f>IFERROR(__xludf.DUMMYFUNCTION("if(isblank($C20),"""",sum(query($C$28:$AA$176,""select N where C = '""&amp;$C20&amp;""'"",0)))"),"  ")</f>
        <v/>
      </c>
      <c r="O20" s="399" t="str">
        <f>IFERROR(__xludf.DUMMYFUNCTION("if(isblank($C20),"""",sum(query($C$28:$AA$176,""select O where C = '""&amp;$C20&amp;""'"",0)))"),"  ")</f>
        <v/>
      </c>
      <c r="P20" s="399" t="str">
        <f>IFERROR(__xludf.DUMMYFUNCTION("if(isblank($C20),"""",sum(query($C$28:$AA$176,""select P where C = '""&amp;$C20&amp;""'"",0)))"),"  ")</f>
        <v/>
      </c>
      <c r="Q20" s="399" t="str">
        <f>IFERROR(__xludf.DUMMYFUNCTION("if(isblank($C20),"""",sum(query($C$28:$AA$176,""select Q where C = '""&amp;$C20&amp;""'"",0)))"),"  ")</f>
        <v/>
      </c>
      <c r="R20" s="399" t="str">
        <f>IFERROR(__xludf.DUMMYFUNCTION("if(isblank($C20),"""",sum(query($C$28:$AA$176,""select R where C = '""&amp;$C20&amp;""'"",0)))"),"  ")</f>
        <v/>
      </c>
      <c r="S20" s="399" t="str">
        <f>IFERROR(__xludf.DUMMYFUNCTION("if(isblank($C20),"""",sum(query($C$28:$AA$176,""select S where C = '""&amp;$C20&amp;""'"",0)))"),"  ")</f>
        <v/>
      </c>
      <c r="T20" s="399" t="str">
        <f>IFERROR(__xludf.DUMMYFUNCTION("if(isblank($C20),"""",sum(query($C$28:$AA$176,""select T where C = '""&amp;$C20&amp;""'"",0)))"),"  ")</f>
        <v/>
      </c>
      <c r="U20" s="399" t="str">
        <f>IFERROR(__xludf.DUMMYFUNCTION("if(isblank($C20),"""",sum(query($C$28:$AA$176,""select U where C = '""&amp;$C20&amp;""'"",0)))"),"  ")</f>
        <v/>
      </c>
      <c r="V20" s="399" t="str">
        <f>IFERROR(__xludf.DUMMYFUNCTION("if(isblank($C20),"""",sum(query($C$28:$AA$176,""select V where C = '""&amp;$C20&amp;""'"",0)))"),"  ")</f>
        <v/>
      </c>
      <c r="W20" s="399" t="str">
        <f>IFERROR(__xludf.DUMMYFUNCTION("if(isblank($C20),"""",sum(query($C$28:$AA$176,""select W where C = '""&amp;$C20&amp;""'"",0)))"),"  ")</f>
        <v/>
      </c>
      <c r="X20" s="399" t="str">
        <f>IFERROR(__xludf.DUMMYFUNCTION("if(isblank($C20),"""",sum(query($C$28:$AA$176,""select X where C = '""&amp;$C20&amp;""'"",0)))"),"  ")</f>
        <v/>
      </c>
      <c r="Y20" s="399" t="str">
        <f>IFERROR(__xludf.DUMMYFUNCTION("if(isblank($C20),"""",sum(query($C$28:$AA$176,""select Y where C = '""&amp;$C20&amp;""'"",0)))"),"  ")</f>
        <v/>
      </c>
      <c r="Z20" s="399">
        <f>IFERROR(__xludf.DUMMYFUNCTION("if(isblank($C20),0,sum(query($C$28:$AA$176,""select Z where C = '""&amp;$C20&amp;""'"",0)))"),0.0)</f>
        <v>0</v>
      </c>
      <c r="AA20" s="400" t="str">
        <f>IFERROR(__xludf.DUMMYFUNCTION("if(isblank($C20),"""",sum(query($C$28:$AA$176,""select AA where C = '""&amp;$C20&amp;""'"",0)))"),"  ")</f>
        <v/>
      </c>
      <c r="AB20" s="21"/>
      <c r="AC20" s="246" t="str">
        <f t="shared" si="3"/>
        <v/>
      </c>
      <c r="AD20" s="246" t="str">
        <f t="shared" si="9"/>
        <v/>
      </c>
      <c r="AE20" s="254" t="str">
        <f t="shared" si="10"/>
        <v/>
      </c>
      <c r="AF20" s="394" t="str">
        <f t="shared" si="4"/>
        <v/>
      </c>
      <c r="AG20" s="394" t="str">
        <f t="shared" si="5"/>
        <v/>
      </c>
      <c r="AH20" s="394" t="str">
        <f t="shared" si="6"/>
        <v/>
      </c>
      <c r="AI20" s="396" t="str">
        <f t="shared" si="7"/>
        <v/>
      </c>
      <c r="AJ20" s="397" t="str">
        <f t="shared" si="8"/>
        <v/>
      </c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</row>
    <row r="21">
      <c r="A21" s="389"/>
      <c r="B21" s="401" t="str">
        <f t="shared" si="2"/>
        <v/>
      </c>
      <c r="C21" s="398"/>
      <c r="D21" s="392" t="str">
        <f>IFERROR(__xludf.DUMMYFUNCTION("if(isblank($C21),"""",sum(query($C$28:$AA$176,""select D where C = '""&amp;$C21&amp;""'"",0)))"),"  ")</f>
        <v/>
      </c>
      <c r="E21" s="392" t="str">
        <f>IFERROR(__xludf.DUMMYFUNCTION("if(isblank($C21),"""",sum(query($C$28:$AA$176,""select E where C = '""&amp;$C21&amp;""'"",0)))"),"  ")</f>
        <v/>
      </c>
      <c r="F21" s="392" t="str">
        <f>IFERROR(__xludf.DUMMYFUNCTION("if(isblank($C21),"""",sum(query($C$28:$AA$176,""select F where C = '""&amp;$C21&amp;""'"",0)))"),"  ")</f>
        <v/>
      </c>
      <c r="G21" s="392" t="str">
        <f>IFERROR(__xludf.DUMMYFUNCTION("if(isblank($C21),"""",sum(query($C$28:$AA$176,""select G where C = '""&amp;$C21&amp;""'"",0)))"),"  ")</f>
        <v/>
      </c>
      <c r="H21" s="392" t="str">
        <f>IFERROR(__xludf.DUMMYFUNCTION("if(isblank($C21),"""",sum(query($C$28:$AA$176,""select H where C = '""&amp;$C21&amp;""'"",0)))"),"  ")</f>
        <v/>
      </c>
      <c r="I21" s="392" t="str">
        <f>IFERROR(__xludf.DUMMYFUNCTION("if(isblank($C21),"""",sum(query($C$28:$AA$176,""select I where C = '""&amp;$C21&amp;""'"",0)))"),"  ")</f>
        <v/>
      </c>
      <c r="J21" s="392" t="str">
        <f>IFERROR(__xludf.DUMMYFUNCTION("if(isblank($C21),"""",sum(query($C$28:$AA$176,""select J where C = '""&amp;$C21&amp;""'"",0)))"),"  ")</f>
        <v/>
      </c>
      <c r="K21" s="392" t="str">
        <f>IFERROR(__xludf.DUMMYFUNCTION("if(isblank($C21),"""",sum(query($C$28:$AA$176,""select K where C = '""&amp;$C21&amp;""'"",0)))"),"  ")</f>
        <v/>
      </c>
      <c r="L21" s="392" t="str">
        <f>IFERROR(__xludf.DUMMYFUNCTION("if(isblank($C21),"""",sum(query($C$28:$AA$176,""select L where C = '""&amp;$C21&amp;""'"",0)))"),"  ")</f>
        <v/>
      </c>
      <c r="M21" s="392" t="str">
        <f>IFERROR(__xludf.DUMMYFUNCTION("if(isblank($C21),"""",sum(query($C$28:$AA$176,""select M where C = '""&amp;$C21&amp;""'"",0)))"),"  ")</f>
        <v/>
      </c>
      <c r="N21" s="392" t="str">
        <f>IFERROR(__xludf.DUMMYFUNCTION("if(isblank($C21),"""",sum(query($C$28:$AA$176,""select N where C = '""&amp;$C21&amp;""'"",0)))"),"  ")</f>
        <v/>
      </c>
      <c r="O21" s="392" t="str">
        <f>IFERROR(__xludf.DUMMYFUNCTION("if(isblank($C21),"""",sum(query($C$28:$AA$176,""select O where C = '""&amp;$C21&amp;""'"",0)))"),"  ")</f>
        <v/>
      </c>
      <c r="P21" s="392" t="str">
        <f>IFERROR(__xludf.DUMMYFUNCTION("if(isblank($C21),"""",sum(query($C$28:$AA$176,""select P where C = '""&amp;$C21&amp;""'"",0)))"),"  ")</f>
        <v/>
      </c>
      <c r="Q21" s="392" t="str">
        <f>IFERROR(__xludf.DUMMYFUNCTION("if(isblank($C21),"""",sum(query($C$28:$AA$176,""select Q where C = '""&amp;$C21&amp;""'"",0)))"),"  ")</f>
        <v/>
      </c>
      <c r="R21" s="392" t="str">
        <f>IFERROR(__xludf.DUMMYFUNCTION("if(isblank($C21),"""",sum(query($C$28:$AA$176,""select R where C = '""&amp;$C21&amp;""'"",0)))"),"  ")</f>
        <v/>
      </c>
      <c r="S21" s="392" t="str">
        <f>IFERROR(__xludf.DUMMYFUNCTION("if(isblank($C21),"""",sum(query($C$28:$AA$176,""select S where C = '""&amp;$C21&amp;""'"",0)))"),"  ")</f>
        <v/>
      </c>
      <c r="T21" s="392" t="str">
        <f>IFERROR(__xludf.DUMMYFUNCTION("if(isblank($C21),"""",sum(query($C$28:$AA$176,""select T where C = '""&amp;$C21&amp;""'"",0)))"),"  ")</f>
        <v/>
      </c>
      <c r="U21" s="392" t="str">
        <f>IFERROR(__xludf.DUMMYFUNCTION("if(isblank($C21),"""",sum(query($C$28:$AA$176,""select U where C = '""&amp;$C21&amp;""'"",0)))"),"  ")</f>
        <v/>
      </c>
      <c r="V21" s="392" t="str">
        <f>IFERROR(__xludf.DUMMYFUNCTION("if(isblank($C21),"""",sum(query($C$28:$AA$176,""select V where C = '""&amp;$C21&amp;""'"",0)))"),"  ")</f>
        <v/>
      </c>
      <c r="W21" s="392" t="str">
        <f>IFERROR(__xludf.DUMMYFUNCTION("if(isblank($C21),"""",sum(query($C$28:$AA$176,""select W where C = '""&amp;$C21&amp;""'"",0)))"),"  ")</f>
        <v/>
      </c>
      <c r="X21" s="392" t="str">
        <f>IFERROR(__xludf.DUMMYFUNCTION("if(isblank($C21),"""",sum(query($C$28:$AA$176,""select X where C = '""&amp;$C21&amp;""'"",0)))"),"  ")</f>
        <v/>
      </c>
      <c r="Y21" s="392" t="str">
        <f>IFERROR(__xludf.DUMMYFUNCTION("if(isblank($C21),"""",sum(query($C$28:$AA$176,""select Y where C = '""&amp;$C21&amp;""'"",0)))"),"  ")</f>
        <v/>
      </c>
      <c r="Z21" s="392">
        <f>IFERROR(__xludf.DUMMYFUNCTION("if(isblank($C21),0,sum(query($C$28:$AA$176,""select Z where C = '""&amp;$C21&amp;""'"",0)))"),0.0)</f>
        <v>0</v>
      </c>
      <c r="AA21" s="393" t="str">
        <f>IFERROR(__xludf.DUMMYFUNCTION("if(isblank($C21),"""",sum(query($C$28:$AA$176,""select AA where C = '""&amp;$C21&amp;""'"",0)))"),"  ")</f>
        <v/>
      </c>
      <c r="AB21" s="21"/>
      <c r="AC21" s="246" t="str">
        <f t="shared" si="3"/>
        <v/>
      </c>
      <c r="AD21" s="246" t="str">
        <f t="shared" si="9"/>
        <v/>
      </c>
      <c r="AE21" s="254" t="str">
        <f t="shared" si="10"/>
        <v/>
      </c>
      <c r="AF21" s="394" t="str">
        <f t="shared" si="4"/>
        <v/>
      </c>
      <c r="AG21" s="394" t="str">
        <f t="shared" si="5"/>
        <v/>
      </c>
      <c r="AH21" s="394" t="str">
        <f t="shared" si="6"/>
        <v/>
      </c>
      <c r="AI21" s="396" t="str">
        <f t="shared" si="7"/>
        <v/>
      </c>
      <c r="AJ21" s="397" t="str">
        <f t="shared" si="8"/>
        <v/>
      </c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</row>
    <row r="22">
      <c r="A22" s="389"/>
      <c r="B22" s="401" t="str">
        <f t="shared" si="2"/>
        <v/>
      </c>
      <c r="C22" s="398"/>
      <c r="D22" s="399" t="str">
        <f>IFERROR(__xludf.DUMMYFUNCTION("if(isblank($C22),"""",sum(query($C$28:$AA$176,""select D where C = '""&amp;$C22&amp;""'"",0)))"),"  ")</f>
        <v/>
      </c>
      <c r="E22" s="399" t="str">
        <f>IFERROR(__xludf.DUMMYFUNCTION("if(isblank($C22),"""",sum(query($C$28:$AA$176,""select E where C = '""&amp;$C22&amp;""'"",0)))"),"  ")</f>
        <v/>
      </c>
      <c r="F22" s="399" t="str">
        <f>IFERROR(__xludf.DUMMYFUNCTION("if(isblank($C22),"""",sum(query($C$28:$AA$176,""select F where C = '""&amp;$C22&amp;""'"",0)))"),"  ")</f>
        <v/>
      </c>
      <c r="G22" s="399" t="str">
        <f>IFERROR(__xludf.DUMMYFUNCTION("if(isblank($C22),"""",sum(query($C$28:$AA$176,""select G where C = '""&amp;$C22&amp;""'"",0)))"),"  ")</f>
        <v/>
      </c>
      <c r="H22" s="399" t="str">
        <f>IFERROR(__xludf.DUMMYFUNCTION("if(isblank($C22),"""",sum(query($C$28:$AA$176,""select H where C = '""&amp;$C22&amp;""'"",0)))"),"  ")</f>
        <v/>
      </c>
      <c r="I22" s="399" t="str">
        <f>IFERROR(__xludf.DUMMYFUNCTION("if(isblank($C22),"""",sum(query($C$28:$AA$176,""select I where C = '""&amp;$C22&amp;""'"",0)))"),"  ")</f>
        <v/>
      </c>
      <c r="J22" s="399" t="str">
        <f>IFERROR(__xludf.DUMMYFUNCTION("if(isblank($C22),"""",sum(query($C$28:$AA$176,""select J where C = '""&amp;$C22&amp;""'"",0)))"),"  ")</f>
        <v/>
      </c>
      <c r="K22" s="399" t="str">
        <f>IFERROR(__xludf.DUMMYFUNCTION("if(isblank($C22),"""",sum(query($C$28:$AA$176,""select K where C = '""&amp;$C22&amp;""'"",0)))"),"  ")</f>
        <v/>
      </c>
      <c r="L22" s="399" t="str">
        <f>IFERROR(__xludf.DUMMYFUNCTION("if(isblank($C22),"""",sum(query($C$28:$AA$176,""select L where C = '""&amp;$C22&amp;""'"",0)))"),"  ")</f>
        <v/>
      </c>
      <c r="M22" s="399" t="str">
        <f>IFERROR(__xludf.DUMMYFUNCTION("if(isblank($C22),"""",sum(query($C$28:$AA$176,""select M where C = '""&amp;$C22&amp;""'"",0)))"),"  ")</f>
        <v/>
      </c>
      <c r="N22" s="399" t="str">
        <f>IFERROR(__xludf.DUMMYFUNCTION("if(isblank($C22),"""",sum(query($C$28:$AA$176,""select N where C = '""&amp;$C22&amp;""'"",0)))"),"  ")</f>
        <v/>
      </c>
      <c r="O22" s="399" t="str">
        <f>IFERROR(__xludf.DUMMYFUNCTION("if(isblank($C22),"""",sum(query($C$28:$AA$176,""select O where C = '""&amp;$C22&amp;""'"",0)))"),"  ")</f>
        <v/>
      </c>
      <c r="P22" s="399" t="str">
        <f>IFERROR(__xludf.DUMMYFUNCTION("if(isblank($C22),"""",sum(query($C$28:$AA$176,""select P where C = '""&amp;$C22&amp;""'"",0)))"),"  ")</f>
        <v/>
      </c>
      <c r="Q22" s="399" t="str">
        <f>IFERROR(__xludf.DUMMYFUNCTION("if(isblank($C22),"""",sum(query($C$28:$AA$176,""select Q where C = '""&amp;$C22&amp;""'"",0)))"),"  ")</f>
        <v/>
      </c>
      <c r="R22" s="399" t="str">
        <f>IFERROR(__xludf.DUMMYFUNCTION("if(isblank($C22),"""",sum(query($C$28:$AA$176,""select R where C = '""&amp;$C22&amp;""'"",0)))"),"  ")</f>
        <v/>
      </c>
      <c r="S22" s="399" t="str">
        <f>IFERROR(__xludf.DUMMYFUNCTION("if(isblank($C22),"""",sum(query($C$28:$AA$176,""select S where C = '""&amp;$C22&amp;""'"",0)))"),"  ")</f>
        <v/>
      </c>
      <c r="T22" s="399" t="str">
        <f>IFERROR(__xludf.DUMMYFUNCTION("if(isblank($C22),"""",sum(query($C$28:$AA$176,""select T where C = '""&amp;$C22&amp;""'"",0)))"),"  ")</f>
        <v/>
      </c>
      <c r="U22" s="399" t="str">
        <f>IFERROR(__xludf.DUMMYFUNCTION("if(isblank($C22),"""",sum(query($C$28:$AA$176,""select U where C = '""&amp;$C22&amp;""'"",0)))"),"  ")</f>
        <v/>
      </c>
      <c r="V22" s="399" t="str">
        <f>IFERROR(__xludf.DUMMYFUNCTION("if(isblank($C22),"""",sum(query($C$28:$AA$176,""select V where C = '""&amp;$C22&amp;""'"",0)))"),"  ")</f>
        <v/>
      </c>
      <c r="W22" s="399" t="str">
        <f>IFERROR(__xludf.DUMMYFUNCTION("if(isblank($C22),"""",sum(query($C$28:$AA$176,""select W where C = '""&amp;$C22&amp;""'"",0)))"),"  ")</f>
        <v/>
      </c>
      <c r="X22" s="399" t="str">
        <f>IFERROR(__xludf.DUMMYFUNCTION("if(isblank($C22),"""",sum(query($C$28:$AA$176,""select X where C = '""&amp;$C22&amp;""'"",0)))"),"  ")</f>
        <v/>
      </c>
      <c r="Y22" s="399" t="str">
        <f>IFERROR(__xludf.DUMMYFUNCTION("if(isblank($C22),"""",sum(query($C$28:$AA$176,""select Y where C = '""&amp;$C22&amp;""'"",0)))"),"  ")</f>
        <v/>
      </c>
      <c r="Z22" s="399">
        <f>IFERROR(__xludf.DUMMYFUNCTION("if(isblank($C22),0,sum(query($C$28:$AA$176,""select Z where C = '""&amp;$C22&amp;""'"",0)))"),0.0)</f>
        <v>0</v>
      </c>
      <c r="AA22" s="400" t="str">
        <f>IFERROR(__xludf.DUMMYFUNCTION("if(isblank($C22),"""",sum(query($C$28:$AA$176,""select AA where C = '""&amp;$C22&amp;""'"",0)))"),"  ")</f>
        <v/>
      </c>
      <c r="AB22" s="21"/>
      <c r="AC22" s="246" t="str">
        <f t="shared" si="3"/>
        <v/>
      </c>
      <c r="AD22" s="246" t="str">
        <f t="shared" si="9"/>
        <v/>
      </c>
      <c r="AE22" s="254" t="str">
        <f t="shared" si="10"/>
        <v/>
      </c>
      <c r="AF22" s="394" t="str">
        <f t="shared" si="4"/>
        <v/>
      </c>
      <c r="AG22" s="394" t="str">
        <f t="shared" si="5"/>
        <v/>
      </c>
      <c r="AH22" s="394" t="str">
        <f t="shared" si="6"/>
        <v/>
      </c>
      <c r="AI22" s="396" t="str">
        <f t="shared" si="7"/>
        <v/>
      </c>
      <c r="AJ22" s="397" t="str">
        <f t="shared" si="8"/>
        <v/>
      </c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</row>
    <row r="23">
      <c r="A23" s="389"/>
      <c r="B23" s="401" t="str">
        <f t="shared" si="2"/>
        <v/>
      </c>
      <c r="C23" s="398"/>
      <c r="D23" s="392" t="str">
        <f>IFERROR(__xludf.DUMMYFUNCTION("if(isblank($C23),"""",sum(query($C$28:$AA$176,""select D where C = '""&amp;$C23&amp;""'"",0)))"),"  ")</f>
        <v/>
      </c>
      <c r="E23" s="392" t="str">
        <f>IFERROR(__xludf.DUMMYFUNCTION("if(isblank($C23),"""",sum(query($C$28:$AA$176,""select E where C = '""&amp;$C23&amp;""'"",0)))"),"  ")</f>
        <v/>
      </c>
      <c r="F23" s="392" t="str">
        <f>IFERROR(__xludf.DUMMYFUNCTION("if(isblank($C23),"""",sum(query($C$28:$AA$176,""select F where C = '""&amp;$C23&amp;""'"",0)))"),"  ")</f>
        <v/>
      </c>
      <c r="G23" s="392" t="str">
        <f>IFERROR(__xludf.DUMMYFUNCTION("if(isblank($C23),"""",sum(query($C$28:$AA$176,""select G where C = '""&amp;$C23&amp;""'"",0)))"),"  ")</f>
        <v/>
      </c>
      <c r="H23" s="392" t="str">
        <f>IFERROR(__xludf.DUMMYFUNCTION("if(isblank($C23),"""",sum(query($C$28:$AA$176,""select H where C = '""&amp;$C23&amp;""'"",0)))"),"  ")</f>
        <v/>
      </c>
      <c r="I23" s="392" t="str">
        <f>IFERROR(__xludf.DUMMYFUNCTION("if(isblank($C23),"""",sum(query($C$28:$AA$176,""select I where C = '""&amp;$C23&amp;""'"",0)))"),"  ")</f>
        <v/>
      </c>
      <c r="J23" s="392" t="str">
        <f>IFERROR(__xludf.DUMMYFUNCTION("if(isblank($C23),"""",sum(query($C$28:$AA$176,""select J where C = '""&amp;$C23&amp;""'"",0)))"),"  ")</f>
        <v/>
      </c>
      <c r="K23" s="392" t="str">
        <f>IFERROR(__xludf.DUMMYFUNCTION("if(isblank($C23),"""",sum(query($C$28:$AA$176,""select K where C = '""&amp;$C23&amp;""'"",0)))"),"  ")</f>
        <v/>
      </c>
      <c r="L23" s="392" t="str">
        <f>IFERROR(__xludf.DUMMYFUNCTION("if(isblank($C23),"""",sum(query($C$28:$AA$176,""select L where C = '""&amp;$C23&amp;""'"",0)))"),"  ")</f>
        <v/>
      </c>
      <c r="M23" s="392" t="str">
        <f>IFERROR(__xludf.DUMMYFUNCTION("if(isblank($C23),"""",sum(query($C$28:$AA$176,""select M where C = '""&amp;$C23&amp;""'"",0)))"),"  ")</f>
        <v/>
      </c>
      <c r="N23" s="392" t="str">
        <f>IFERROR(__xludf.DUMMYFUNCTION("if(isblank($C23),"""",sum(query($C$28:$AA$176,""select N where C = '""&amp;$C23&amp;""'"",0)))"),"  ")</f>
        <v/>
      </c>
      <c r="O23" s="392" t="str">
        <f>IFERROR(__xludf.DUMMYFUNCTION("if(isblank($C23),"""",sum(query($C$28:$AA$176,""select O where C = '""&amp;$C23&amp;""'"",0)))"),"  ")</f>
        <v/>
      </c>
      <c r="P23" s="392" t="str">
        <f>IFERROR(__xludf.DUMMYFUNCTION("if(isblank($C23),"""",sum(query($C$28:$AA$176,""select P where C = '""&amp;$C23&amp;""'"",0)))"),"  ")</f>
        <v/>
      </c>
      <c r="Q23" s="392" t="str">
        <f>IFERROR(__xludf.DUMMYFUNCTION("if(isblank($C23),"""",sum(query($C$28:$AA$176,""select Q where C = '""&amp;$C23&amp;""'"",0)))"),"  ")</f>
        <v/>
      </c>
      <c r="R23" s="392" t="str">
        <f>IFERROR(__xludf.DUMMYFUNCTION("if(isblank($C23),"""",sum(query($C$28:$AA$176,""select R where C = '""&amp;$C23&amp;""'"",0)))"),"  ")</f>
        <v/>
      </c>
      <c r="S23" s="392" t="str">
        <f>IFERROR(__xludf.DUMMYFUNCTION("if(isblank($C23),"""",sum(query($C$28:$AA$176,""select S where C = '""&amp;$C23&amp;""'"",0)))"),"  ")</f>
        <v/>
      </c>
      <c r="T23" s="392" t="str">
        <f>IFERROR(__xludf.DUMMYFUNCTION("if(isblank($C23),"""",sum(query($C$28:$AA$176,""select T where C = '""&amp;$C23&amp;""'"",0)))"),"  ")</f>
        <v/>
      </c>
      <c r="U23" s="392" t="str">
        <f>IFERROR(__xludf.DUMMYFUNCTION("if(isblank($C23),"""",sum(query($C$28:$AA$176,""select U where C = '""&amp;$C23&amp;""'"",0)))"),"  ")</f>
        <v/>
      </c>
      <c r="V23" s="392" t="str">
        <f>IFERROR(__xludf.DUMMYFUNCTION("if(isblank($C23),"""",sum(query($C$28:$AA$176,""select V where C = '""&amp;$C23&amp;""'"",0)))"),"  ")</f>
        <v/>
      </c>
      <c r="W23" s="392" t="str">
        <f>IFERROR(__xludf.DUMMYFUNCTION("if(isblank($C23),"""",sum(query($C$28:$AA$176,""select W where C = '""&amp;$C23&amp;""'"",0)))"),"  ")</f>
        <v/>
      </c>
      <c r="X23" s="392" t="str">
        <f>IFERROR(__xludf.DUMMYFUNCTION("if(isblank($C23),"""",sum(query($C$28:$AA$176,""select X where C = '""&amp;$C23&amp;""'"",0)))"),"  ")</f>
        <v/>
      </c>
      <c r="Y23" s="392" t="str">
        <f>IFERROR(__xludf.DUMMYFUNCTION("if(isblank($C23),"""",sum(query($C$28:$AA$176,""select Y where C = '""&amp;$C23&amp;""'"",0)))"),"  ")</f>
        <v/>
      </c>
      <c r="Z23" s="392">
        <f>IFERROR(__xludf.DUMMYFUNCTION("if(isblank($C23),0,sum(query($C$28:$AA$176,""select Z where C = '""&amp;$C23&amp;""'"",0)))"),0.0)</f>
        <v>0</v>
      </c>
      <c r="AA23" s="393" t="str">
        <f>IFERROR(__xludf.DUMMYFUNCTION("if(isblank($C23),"""",sum(query($C$28:$AA$176,""select AA where C = '""&amp;$C23&amp;""'"",0)))"),"  ")</f>
        <v/>
      </c>
      <c r="AB23" s="21"/>
      <c r="AC23" s="246" t="str">
        <f t="shared" si="3"/>
        <v/>
      </c>
      <c r="AD23" s="246" t="str">
        <f t="shared" si="9"/>
        <v/>
      </c>
      <c r="AE23" s="254" t="str">
        <f t="shared" si="10"/>
        <v/>
      </c>
      <c r="AF23" s="394" t="str">
        <f t="shared" si="4"/>
        <v/>
      </c>
      <c r="AG23" s="394" t="str">
        <f t="shared" si="5"/>
        <v/>
      </c>
      <c r="AH23" s="394" t="str">
        <f t="shared" si="6"/>
        <v/>
      </c>
      <c r="AI23" s="396" t="str">
        <f t="shared" si="7"/>
        <v/>
      </c>
      <c r="AJ23" s="397" t="str">
        <f t="shared" si="8"/>
        <v/>
      </c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</row>
    <row r="24">
      <c r="A24" s="402"/>
      <c r="B24" s="403" t="str">
        <f t="shared" si="2"/>
        <v/>
      </c>
      <c r="C24" s="404"/>
      <c r="D24" s="399" t="str">
        <f>IFERROR(__xludf.DUMMYFUNCTION("if(isblank($C24),"""",sum(query($C$28:$AA$176,""select D where C = '""&amp;$C24&amp;""'"",0)))"),"  ")</f>
        <v/>
      </c>
      <c r="E24" s="399" t="str">
        <f>IFERROR(__xludf.DUMMYFUNCTION("if(isblank($C24),"""",sum(query($C$28:$AA$176,""select E where C = '""&amp;$C24&amp;""'"",0)))"),"  ")</f>
        <v/>
      </c>
      <c r="F24" s="399" t="str">
        <f>IFERROR(__xludf.DUMMYFUNCTION("if(isblank($C24),"""",sum(query($C$28:$AA$176,""select F where C = '""&amp;$C24&amp;""'"",0)))"),"  ")</f>
        <v/>
      </c>
      <c r="G24" s="399" t="str">
        <f>IFERROR(__xludf.DUMMYFUNCTION("if(isblank($C24),"""",sum(query($C$28:$AA$176,""select G where C = '""&amp;$C24&amp;""'"",0)))"),"  ")</f>
        <v/>
      </c>
      <c r="H24" s="399" t="str">
        <f>IFERROR(__xludf.DUMMYFUNCTION("if(isblank($C24),"""",sum(query($C$28:$AA$176,""select H where C = '""&amp;$C24&amp;""'"",0)))"),"  ")</f>
        <v/>
      </c>
      <c r="I24" s="399" t="str">
        <f>IFERROR(__xludf.DUMMYFUNCTION("if(isblank($C24),"""",sum(query($C$28:$AA$176,""select I where C = '""&amp;$C24&amp;""'"",0)))"),"  ")</f>
        <v/>
      </c>
      <c r="J24" s="399" t="str">
        <f>IFERROR(__xludf.DUMMYFUNCTION("if(isblank($C24),"""",sum(query($C$28:$AA$176,""select J where C = '""&amp;$C24&amp;""'"",0)))"),"  ")</f>
        <v/>
      </c>
      <c r="K24" s="399" t="str">
        <f>IFERROR(__xludf.DUMMYFUNCTION("if(isblank($C24),"""",sum(query($C$28:$AA$176,""select K where C = '""&amp;$C24&amp;""'"",0)))"),"  ")</f>
        <v/>
      </c>
      <c r="L24" s="399" t="str">
        <f>IFERROR(__xludf.DUMMYFUNCTION("if(isblank($C24),"""",sum(query($C$28:$AA$176,""select L where C = '""&amp;$C24&amp;""'"",0)))"),"  ")</f>
        <v/>
      </c>
      <c r="M24" s="399" t="str">
        <f>IFERROR(__xludf.DUMMYFUNCTION("if(isblank($C24),"""",sum(query($C$28:$AA$176,""select M where C = '""&amp;$C24&amp;""'"",0)))"),"  ")</f>
        <v/>
      </c>
      <c r="N24" s="399" t="str">
        <f>IFERROR(__xludf.DUMMYFUNCTION("if(isblank($C24),"""",sum(query($C$28:$AA$176,""select N where C = '""&amp;$C24&amp;""'"",0)))"),"  ")</f>
        <v/>
      </c>
      <c r="O24" s="399" t="str">
        <f>IFERROR(__xludf.DUMMYFUNCTION("if(isblank($C24),"""",sum(query($C$28:$AA$176,""select O where C = '""&amp;$C24&amp;""'"",0)))"),"  ")</f>
        <v/>
      </c>
      <c r="P24" s="399" t="str">
        <f>IFERROR(__xludf.DUMMYFUNCTION("if(isblank($C24),"""",sum(query($C$28:$AA$176,""select P where C = '""&amp;$C24&amp;""'"",0)))"),"  ")</f>
        <v/>
      </c>
      <c r="Q24" s="399" t="str">
        <f>IFERROR(__xludf.DUMMYFUNCTION("if(isblank($C24),"""",sum(query($C$28:$AA$176,""select Q where C = '""&amp;$C24&amp;""'"",0)))"),"  ")</f>
        <v/>
      </c>
      <c r="R24" s="399" t="str">
        <f>IFERROR(__xludf.DUMMYFUNCTION("if(isblank($C24),"""",sum(query($C$28:$AA$176,""select R where C = '""&amp;$C24&amp;""'"",0)))"),"  ")</f>
        <v/>
      </c>
      <c r="S24" s="399" t="str">
        <f>IFERROR(__xludf.DUMMYFUNCTION("if(isblank($C24),"""",sum(query($C$28:$AA$176,""select S where C = '""&amp;$C24&amp;""'"",0)))"),"  ")</f>
        <v/>
      </c>
      <c r="T24" s="399" t="str">
        <f>IFERROR(__xludf.DUMMYFUNCTION("if(isblank($C24),"""",sum(query($C$28:$AA$176,""select T where C = '""&amp;$C24&amp;""'"",0)))"),"  ")</f>
        <v/>
      </c>
      <c r="U24" s="399" t="str">
        <f>IFERROR(__xludf.DUMMYFUNCTION("if(isblank($C24),"""",sum(query($C$28:$AA$176,""select U where C = '""&amp;$C24&amp;""'"",0)))"),"  ")</f>
        <v/>
      </c>
      <c r="V24" s="399" t="str">
        <f>IFERROR(__xludf.DUMMYFUNCTION("if(isblank($C24),"""",sum(query($C$28:$AA$176,""select V where C = '""&amp;$C24&amp;""'"",0)))"),"  ")</f>
        <v/>
      </c>
      <c r="W24" s="399" t="str">
        <f>IFERROR(__xludf.DUMMYFUNCTION("if(isblank($C24),"""",sum(query($C$28:$AA$176,""select W where C = '""&amp;$C24&amp;""'"",0)))"),"  ")</f>
        <v/>
      </c>
      <c r="X24" s="399" t="str">
        <f>IFERROR(__xludf.DUMMYFUNCTION("if(isblank($C24),"""",sum(query($C$28:$AA$176,""select X where C = '""&amp;$C24&amp;""'"",0)))"),"  ")</f>
        <v/>
      </c>
      <c r="Y24" s="399" t="str">
        <f>IFERROR(__xludf.DUMMYFUNCTION("if(isblank($C24),"""",sum(query($C$28:$AA$176,""select Y where C = '""&amp;$C24&amp;""'"",0)))"),"  ")</f>
        <v/>
      </c>
      <c r="Z24" s="399">
        <f>IFERROR(__xludf.DUMMYFUNCTION("if(isblank($C24),0,sum(query($C$28:$AA$176,""select Z where C = '""&amp;$C24&amp;""'"",0)))"),0.0)</f>
        <v>0</v>
      </c>
      <c r="AA24" s="400" t="str">
        <f>IFERROR(__xludf.DUMMYFUNCTION("if(isblank($C24),"""",sum(query($C$28:$AA$176,""select AA where C = '""&amp;$C24&amp;""'"",0)))"),"  ")</f>
        <v/>
      </c>
      <c r="AB24" s="21"/>
      <c r="AC24" s="246" t="str">
        <f t="shared" si="3"/>
        <v/>
      </c>
      <c r="AD24" s="246" t="str">
        <f t="shared" si="9"/>
        <v/>
      </c>
      <c r="AE24" s="254" t="str">
        <f t="shared" si="10"/>
        <v/>
      </c>
      <c r="AF24" s="394" t="str">
        <f t="shared" si="4"/>
        <v/>
      </c>
      <c r="AG24" s="394" t="str">
        <f t="shared" si="5"/>
        <v/>
      </c>
      <c r="AH24" s="394" t="str">
        <f t="shared" si="6"/>
        <v/>
      </c>
      <c r="AI24" s="396" t="str">
        <f t="shared" si="7"/>
        <v/>
      </c>
      <c r="AJ24" s="397" t="str">
        <f t="shared" si="8"/>
        <v/>
      </c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</row>
    <row r="25">
      <c r="A25" s="405"/>
      <c r="B25" s="405" t="s">
        <v>338</v>
      </c>
      <c r="D25" s="406"/>
      <c r="E25" s="406"/>
      <c r="F25" s="406"/>
      <c r="G25" s="406"/>
      <c r="H25" s="406"/>
      <c r="I25" s="406"/>
      <c r="J25" s="406"/>
      <c r="K25" s="406"/>
      <c r="L25" s="406"/>
      <c r="M25" s="406"/>
      <c r="N25" s="406"/>
      <c r="O25" s="406"/>
      <c r="P25" s="406"/>
      <c r="Q25" s="406"/>
      <c r="R25" s="406"/>
      <c r="S25" s="406"/>
      <c r="T25" s="406"/>
      <c r="U25" s="406"/>
      <c r="V25" s="406"/>
      <c r="W25" s="406"/>
      <c r="X25" s="406"/>
      <c r="Y25" s="406"/>
      <c r="Z25" s="406"/>
      <c r="AA25" s="407"/>
      <c r="AB25" s="21"/>
      <c r="AC25" s="21"/>
      <c r="AD25" s="21"/>
      <c r="AE25" s="370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</row>
    <row r="26">
      <c r="A26" s="408"/>
      <c r="D26" s="371">
        <f>Inicio!$B$2</f>
        <v>2021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372"/>
      <c r="P26" s="371">
        <f>D26+1</f>
        <v>2022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372"/>
      <c r="AB26" s="21"/>
      <c r="AC26" s="373" t="s">
        <v>339</v>
      </c>
      <c r="AE26" s="373"/>
      <c r="AF26" s="373"/>
      <c r="AG26" s="373"/>
      <c r="AH26" s="373"/>
      <c r="AI26" s="373"/>
      <c r="AJ26" s="373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</row>
    <row r="27">
      <c r="A27" s="409" t="s">
        <v>340</v>
      </c>
      <c r="B27" s="410" t="s">
        <v>130</v>
      </c>
      <c r="C27" s="409" t="s">
        <v>227</v>
      </c>
      <c r="D27" s="411" t="s">
        <v>57</v>
      </c>
      <c r="E27" s="411" t="s">
        <v>58</v>
      </c>
      <c r="F27" s="411" t="s">
        <v>59</v>
      </c>
      <c r="G27" s="411" t="s">
        <v>60</v>
      </c>
      <c r="H27" s="411" t="s">
        <v>61</v>
      </c>
      <c r="I27" s="411" t="s">
        <v>62</v>
      </c>
      <c r="J27" s="411" t="s">
        <v>63</v>
      </c>
      <c r="K27" s="411" t="s">
        <v>64</v>
      </c>
      <c r="L27" s="411" t="s">
        <v>65</v>
      </c>
      <c r="M27" s="411" t="s">
        <v>66</v>
      </c>
      <c r="N27" s="411" t="s">
        <v>67</v>
      </c>
      <c r="O27" s="411" t="s">
        <v>68</v>
      </c>
      <c r="P27" s="411" t="s">
        <v>57</v>
      </c>
      <c r="Q27" s="411" t="s">
        <v>58</v>
      </c>
      <c r="R27" s="411" t="s">
        <v>59</v>
      </c>
      <c r="S27" s="411" t="s">
        <v>60</v>
      </c>
      <c r="T27" s="411" t="s">
        <v>61</v>
      </c>
      <c r="U27" s="411" t="s">
        <v>62</v>
      </c>
      <c r="V27" s="411" t="s">
        <v>63</v>
      </c>
      <c r="W27" s="411" t="s">
        <v>64</v>
      </c>
      <c r="X27" s="411" t="s">
        <v>65</v>
      </c>
      <c r="Y27" s="411" t="s">
        <v>66</v>
      </c>
      <c r="Z27" s="411" t="s">
        <v>67</v>
      </c>
      <c r="AA27" s="411" t="s">
        <v>68</v>
      </c>
      <c r="AB27" s="21"/>
      <c r="AC27" s="388" t="s">
        <v>227</v>
      </c>
      <c r="AD27" s="387" t="s">
        <v>224</v>
      </c>
      <c r="AE27" s="412"/>
      <c r="AF27" s="413"/>
      <c r="AG27" s="414"/>
      <c r="AH27" s="415"/>
      <c r="AI27" s="414"/>
      <c r="AJ27" s="416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</row>
    <row r="28">
      <c r="A28" s="417">
        <f>IFERROR(__xludf.DUMMYFUNCTION("query('Saída'!$K$3:$R$505,""Select K, N Where N is not Null"",0)"),1.0)</f>
        <v>1</v>
      </c>
      <c r="B28" s="418" t="str">
        <f>IFERROR(__xludf.DUMMYFUNCTION("""COMPUTED_VALUE"""),"Restante inside")</f>
        <v>Restante inside</v>
      </c>
      <c r="C28" s="419" t="str">
        <f>IFERROR(__xludf.DUMMYFUNCTION("IF(ISBLANK($B28),"""",query('Saída'!$K$3:$R$505,""Select R where N = '""&amp;$B28&amp;""' and K = ""&amp;$A28,0))"),"Nubank")</f>
        <v>Nubank</v>
      </c>
      <c r="D28" s="420"/>
      <c r="E28" s="421">
        <f>IFERROR(__xludf.DUMMYFUNCTION("if(isblank($B28),"""",split(rept(0&amp;""-"",month(query('Saída'!$J$3:$R$505,""Select M where N = '""&amp;$B28&amp;""' and K = ""&amp;$A28,0))-1)&amp;rept(query('Saída'!$J$3:$R$505,""Select Q where N = '""&amp;$B28&amp;""' and K = ""&amp;$A28,0)&amp;""-"",query('Saída'!$J$3:$R$505,""Select "&amp;"P where N = '""&amp;$B28&amp;""' and K = ""&amp;$A28,0)),""-""))"),81.46)</f>
        <v>81.46</v>
      </c>
      <c r="F28" s="420">
        <f>IFERROR(__xludf.DUMMYFUNCTION("""COMPUTED_VALUE"""),81.46)</f>
        <v>81.46</v>
      </c>
      <c r="G28" s="420">
        <f>IFERROR(__xludf.DUMMYFUNCTION("""COMPUTED_VALUE"""),81.46)</f>
        <v>81.46</v>
      </c>
      <c r="H28" s="420">
        <f>IFERROR(__xludf.DUMMYFUNCTION("""COMPUTED_VALUE"""),81.46)</f>
        <v>81.46</v>
      </c>
      <c r="I28" s="420">
        <f>IFERROR(__xludf.DUMMYFUNCTION("""COMPUTED_VALUE"""),81.46)</f>
        <v>81.46</v>
      </c>
      <c r="J28" s="420">
        <f>IFERROR(__xludf.DUMMYFUNCTION("""COMPUTED_VALUE"""),81.46)</f>
        <v>81.46</v>
      </c>
      <c r="K28" s="420">
        <f>IFERROR(__xludf.DUMMYFUNCTION("""COMPUTED_VALUE"""),81.46)</f>
        <v>81.46</v>
      </c>
      <c r="L28" s="420">
        <f>IFERROR(__xludf.DUMMYFUNCTION("""COMPUTED_VALUE"""),81.46)</f>
        <v>81.46</v>
      </c>
      <c r="M28" s="420"/>
      <c r="N28" s="420"/>
      <c r="O28" s="420"/>
      <c r="P28" s="422"/>
      <c r="Q28" s="423"/>
      <c r="R28" s="423"/>
      <c r="S28" s="423"/>
      <c r="T28" s="423"/>
      <c r="U28" s="423"/>
      <c r="V28" s="423"/>
      <c r="W28" s="423"/>
      <c r="X28" s="423"/>
      <c r="Y28" s="423"/>
      <c r="Z28" s="423"/>
      <c r="AA28" s="424"/>
      <c r="AB28" s="21"/>
      <c r="AC28" s="425" t="s">
        <v>14</v>
      </c>
      <c r="AD28" s="425">
        <v>540.07</v>
      </c>
      <c r="AE28" s="254"/>
      <c r="AF28" s="425"/>
      <c r="AG28" s="425"/>
      <c r="AH28" s="426"/>
      <c r="AI28" s="394"/>
      <c r="AJ28" s="397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</row>
    <row r="29">
      <c r="A29" s="427">
        <f>IFERROR(__xludf.DUMMYFUNCTION("""COMPUTED_VALUE"""),2.0)</f>
        <v>2</v>
      </c>
      <c r="B29" s="418" t="str">
        <f>IFERROR(__xludf.DUMMYFUNCTION("""COMPUTED_VALUE"""),"Restante Alura")</f>
        <v>Restante Alura</v>
      </c>
      <c r="C29" s="419" t="str">
        <f>IFERROR(__xludf.DUMMYFUNCTION("IF(ISBLANK($B29),"""",query('Saída'!$K$3:$R$505,""Select R where N = '""&amp;$B29&amp;""' and K = ""&amp;$A29,0))"),"Nubank")</f>
        <v>Nubank</v>
      </c>
      <c r="D29" s="420"/>
      <c r="E29" s="421">
        <f>IFERROR(__xludf.DUMMYFUNCTION("if(isblank($B29),"""",split(rept(0&amp;""-"",month(query('Saída'!$J$3:$R$505,""Select M where N = '""&amp;$B29&amp;""' and K = ""&amp;$A29,0))-1)&amp;rept(query('Saída'!$J$3:$R$505,""Select Q where N = '""&amp;$B29&amp;""' and K = ""&amp;$A29,0)&amp;""-"",query('Saída'!$J$3:$R$505,""Select "&amp;"P where N = '""&amp;$B29&amp;""' and K = ""&amp;$A29,0)),""-""))"),158.33)</f>
        <v>158.33</v>
      </c>
      <c r="F29" s="420">
        <f>IFERROR(__xludf.DUMMYFUNCTION("""COMPUTED_VALUE"""),158.33)</f>
        <v>158.33</v>
      </c>
      <c r="G29" s="420">
        <f>IFERROR(__xludf.DUMMYFUNCTION("""COMPUTED_VALUE"""),158.33)</f>
        <v>158.33</v>
      </c>
      <c r="H29" s="420">
        <f>IFERROR(__xludf.DUMMYFUNCTION("""COMPUTED_VALUE"""),158.33)</f>
        <v>158.33</v>
      </c>
      <c r="I29" s="420">
        <f>IFERROR(__xludf.DUMMYFUNCTION("""COMPUTED_VALUE"""),158.33)</f>
        <v>158.33</v>
      </c>
      <c r="J29" s="420">
        <f>IFERROR(__xludf.DUMMYFUNCTION("""COMPUTED_VALUE"""),158.33)</f>
        <v>158.33</v>
      </c>
      <c r="K29" s="420">
        <f>IFERROR(__xludf.DUMMYFUNCTION("""COMPUTED_VALUE"""),158.33)</f>
        <v>158.33</v>
      </c>
      <c r="L29" s="420">
        <f>IFERROR(__xludf.DUMMYFUNCTION("""COMPUTED_VALUE"""),158.33)</f>
        <v>158.33</v>
      </c>
      <c r="M29" s="420">
        <f>IFERROR(__xludf.DUMMYFUNCTION("""COMPUTED_VALUE"""),158.33)</f>
        <v>158.33</v>
      </c>
      <c r="N29" s="420"/>
      <c r="O29" s="420"/>
      <c r="P29" s="422"/>
      <c r="Q29" s="423"/>
      <c r="R29" s="423"/>
      <c r="S29" s="423"/>
      <c r="T29" s="423"/>
      <c r="U29" s="423"/>
      <c r="V29" s="423"/>
      <c r="W29" s="423"/>
      <c r="X29" s="423"/>
      <c r="Y29" s="423"/>
      <c r="Z29" s="423"/>
      <c r="AA29" s="424"/>
      <c r="AB29" s="21"/>
      <c r="AC29" s="246"/>
      <c r="AD29" s="394"/>
      <c r="AE29" s="370"/>
      <c r="AF29" s="21"/>
      <c r="AG29" s="394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>
      <c r="A30" s="427">
        <f>IFERROR(__xludf.DUMMYFUNCTION("""COMPUTED_VALUE"""),3.0)</f>
        <v>3</v>
      </c>
      <c r="B30" s="418" t="str">
        <f>IFERROR(__xludf.DUMMYFUNCTION("""COMPUTED_VALUE"""),"SmartFit")</f>
        <v>SmartFit</v>
      </c>
      <c r="C30" s="419" t="str">
        <f>IFERROR(__xludf.DUMMYFUNCTION("IF(ISBLANK($B30),"""",query('Saída'!$K$3:$R$505,""Select R where N = '""&amp;$B30&amp;""' and K = ""&amp;$A30,0))"),"Nubank")</f>
        <v>Nubank</v>
      </c>
      <c r="D30" s="420"/>
      <c r="E30" s="421">
        <f>IFERROR(__xludf.DUMMYFUNCTION("if(isblank($B30),"""",split(rept(0&amp;""-"",month(query('Saída'!$J$3:$R$505,""Select M where N = '""&amp;$B30&amp;""' and K = ""&amp;$A30,0))-1)&amp;rept(query('Saída'!$J$3:$R$505,""Select Q where N = '""&amp;$B30&amp;""' and K = ""&amp;$A30,0)&amp;""-"",query('Saída'!$J$3:$R$505,""Select "&amp;"P where N = '""&amp;$B30&amp;""' and K = ""&amp;$A30,0)),""-""))"),0.0)</f>
        <v>0</v>
      </c>
      <c r="F30" s="420">
        <f>IFERROR(__xludf.DUMMYFUNCTION("""COMPUTED_VALUE"""),99.9)</f>
        <v>99.9</v>
      </c>
      <c r="G30" s="420">
        <f>IFERROR(__xludf.DUMMYFUNCTION("""COMPUTED_VALUE"""),99.9)</f>
        <v>99.9</v>
      </c>
      <c r="H30" s="420">
        <f>IFERROR(__xludf.DUMMYFUNCTION("""COMPUTED_VALUE"""),99.9)</f>
        <v>99.9</v>
      </c>
      <c r="I30" s="420">
        <f>IFERROR(__xludf.DUMMYFUNCTION("""COMPUTED_VALUE"""),99.9)</f>
        <v>99.9</v>
      </c>
      <c r="J30" s="420">
        <f>IFERROR(__xludf.DUMMYFUNCTION("""COMPUTED_VALUE"""),99.9)</f>
        <v>99.9</v>
      </c>
      <c r="K30" s="420">
        <f>IFERROR(__xludf.DUMMYFUNCTION("""COMPUTED_VALUE"""),99.9)</f>
        <v>99.9</v>
      </c>
      <c r="L30" s="420">
        <f>IFERROR(__xludf.DUMMYFUNCTION("""COMPUTED_VALUE"""),99.9)</f>
        <v>99.9</v>
      </c>
      <c r="M30" s="420">
        <f>IFERROR(__xludf.DUMMYFUNCTION("""COMPUTED_VALUE"""),99.9)</f>
        <v>99.9</v>
      </c>
      <c r="N30" s="420">
        <f>IFERROR(__xludf.DUMMYFUNCTION("""COMPUTED_VALUE"""),99.9)</f>
        <v>99.9</v>
      </c>
      <c r="O30" s="420">
        <f>IFERROR(__xludf.DUMMYFUNCTION("""COMPUTED_VALUE"""),99.9)</f>
        <v>99.9</v>
      </c>
      <c r="P30" s="422">
        <f>IFERROR(__xludf.DUMMYFUNCTION("""COMPUTED_VALUE"""),99.9)</f>
        <v>99.9</v>
      </c>
      <c r="Q30" s="423"/>
      <c r="R30" s="423"/>
      <c r="S30" s="423"/>
      <c r="T30" s="423"/>
      <c r="U30" s="423"/>
      <c r="V30" s="423"/>
      <c r="W30" s="423"/>
      <c r="X30" s="423"/>
      <c r="Y30" s="423"/>
      <c r="Z30" s="423"/>
      <c r="AA30" s="424"/>
      <c r="AB30" s="21"/>
      <c r="AC30" s="246"/>
      <c r="AD30" s="394"/>
      <c r="AE30" s="370"/>
      <c r="AF30" s="21"/>
      <c r="AG30" s="394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>
      <c r="A31" s="427">
        <f>IFERROR(__xludf.DUMMYFUNCTION("""COMPUTED_VALUE"""),4.0)</f>
        <v>4</v>
      </c>
      <c r="B31" s="418" t="str">
        <f>IFERROR(__xludf.DUMMYFUNCTION("""COMPUTED_VALUE"""),"Centauro tênis")</f>
        <v>Centauro tênis</v>
      </c>
      <c r="C31" s="419" t="str">
        <f>IFERROR(__xludf.DUMMYFUNCTION("IF(ISBLANK($B31),"""",query('Saída'!$K$3:$R$505,""Select R where N = '""&amp;$B31&amp;""' and K = ""&amp;$A31,0))"),"Nubank")</f>
        <v>Nubank</v>
      </c>
      <c r="D31" s="420"/>
      <c r="E31" s="421">
        <f>IFERROR(__xludf.DUMMYFUNCTION("if(isblank($B31),"""",split(rept(0&amp;""-"",month(query('Saída'!$J$3:$R$505,""Select M where N = '""&amp;$B31&amp;""' and K = ""&amp;$A31,0))-1)&amp;rept(query('Saída'!$J$3:$R$505,""Select Q where N = '""&amp;$B31&amp;""' and K = ""&amp;$A31,0)&amp;""-"",query('Saída'!$J$3:$R$505,""Select "&amp;"P where N = '""&amp;$B31&amp;""' and K = ""&amp;$A31,0)),""-""))"),66.6633333333333)</f>
        <v>66.66333333</v>
      </c>
      <c r="F31" s="423">
        <f>IFERROR(__xludf.DUMMYFUNCTION("""COMPUTED_VALUE"""),66.6633333333333)</f>
        <v>66.66333333</v>
      </c>
      <c r="G31" s="423">
        <f>IFERROR(__xludf.DUMMYFUNCTION("""COMPUTED_VALUE"""),66.6633333333333)</f>
        <v>66.66333333</v>
      </c>
      <c r="H31" s="423"/>
      <c r="I31" s="423"/>
      <c r="J31" s="423"/>
      <c r="K31" s="423"/>
      <c r="L31" s="423"/>
      <c r="M31" s="423"/>
      <c r="N31" s="423"/>
      <c r="O31" s="423"/>
      <c r="P31" s="423"/>
      <c r="Q31" s="423"/>
      <c r="R31" s="423"/>
      <c r="S31" s="423"/>
      <c r="T31" s="423"/>
      <c r="U31" s="423"/>
      <c r="V31" s="423"/>
      <c r="W31" s="423"/>
      <c r="X31" s="423"/>
      <c r="Y31" s="423"/>
      <c r="Z31" s="423"/>
      <c r="AA31" s="424"/>
      <c r="AB31" s="21"/>
      <c r="AC31" s="246"/>
      <c r="AD31" s="394"/>
      <c r="AE31" s="370"/>
      <c r="AF31" s="21"/>
      <c r="AG31" s="394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</row>
    <row r="32">
      <c r="A32" s="427">
        <f>IFERROR(__xludf.DUMMYFUNCTION("""COMPUTED_VALUE"""),5.0)</f>
        <v>5</v>
      </c>
      <c r="B32" s="418" t="str">
        <f>IFERROR(__xludf.DUMMYFUNCTION("""COMPUTED_VALUE"""),"Miranda Mouse")</f>
        <v>Miranda Mouse</v>
      </c>
      <c r="C32" s="419" t="str">
        <f>IFERROR(__xludf.DUMMYFUNCTION("IF(ISBLANK($B32),"""",query('Saída'!$K$3:$R$505,""Select R where N = '""&amp;$B32&amp;""' and K = ""&amp;$A32,0))"),"Nubank")</f>
        <v>Nubank</v>
      </c>
      <c r="D32" s="420"/>
      <c r="E32" s="421">
        <f>IFERROR(__xludf.DUMMYFUNCTION("if(isblank($B32),"""",split(rept(0&amp;""-"",month(query('Saída'!$J$3:$R$505,""Select M where N = '""&amp;$B32&amp;""' and K = ""&amp;$A32,0))-1)&amp;rept(query('Saída'!$J$3:$R$505,""Select Q where N = '""&amp;$B32&amp;""' and K = ""&amp;$A32,0)&amp;""-"",query('Saída'!$J$3:$R$505,""Select "&amp;"P where N = '""&amp;$B32&amp;""' and K = ""&amp;$A32,0)),""-""))"),99.6666666666667)</f>
        <v>99.66666667</v>
      </c>
      <c r="F32" s="423">
        <f>IFERROR(__xludf.DUMMYFUNCTION("""COMPUTED_VALUE"""),99.6666666666667)</f>
        <v>99.66666667</v>
      </c>
      <c r="G32" s="423">
        <f>IFERROR(__xludf.DUMMYFUNCTION("""COMPUTED_VALUE"""),99.6666666666667)</f>
        <v>99.66666667</v>
      </c>
      <c r="H32" s="423"/>
      <c r="I32" s="423"/>
      <c r="J32" s="423"/>
      <c r="K32" s="423"/>
      <c r="L32" s="423"/>
      <c r="M32" s="423"/>
      <c r="N32" s="423"/>
      <c r="O32" s="423"/>
      <c r="P32" s="422"/>
      <c r="Q32" s="423"/>
      <c r="R32" s="423"/>
      <c r="S32" s="423"/>
      <c r="T32" s="423"/>
      <c r="U32" s="423"/>
      <c r="V32" s="423"/>
      <c r="W32" s="423"/>
      <c r="X32" s="423"/>
      <c r="Y32" s="423"/>
      <c r="Z32" s="423"/>
      <c r="AA32" s="424"/>
      <c r="AB32" s="21"/>
      <c r="AC32" s="246"/>
      <c r="AD32" s="394"/>
      <c r="AE32" s="370"/>
      <c r="AF32" s="21"/>
      <c r="AG32" s="394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</row>
    <row r="33">
      <c r="A33" s="427">
        <f>IFERROR(__xludf.DUMMYFUNCTION("""COMPUTED_VALUE"""),42.0)</f>
        <v>42</v>
      </c>
      <c r="B33" s="418" t="str">
        <f>IFERROR(__xludf.DUMMYFUNCTION("""COMPUTED_VALUE"""),"Combustível")</f>
        <v>Combustível</v>
      </c>
      <c r="C33" s="419" t="str">
        <f>IFERROR(__xludf.DUMMYFUNCTION("IF(ISBLANK($B33),"""",query('Saída'!$K$3:$R$505,""Select R where N = '""&amp;$B33&amp;""' and K = ""&amp;$A33,0))"),"Credicard")</f>
        <v>Credicard</v>
      </c>
      <c r="D33" s="420"/>
      <c r="E33" s="421">
        <f>IFERROR(__xludf.DUMMYFUNCTION("if(isblank($B33),"""",split(rept(0&amp;""-"",month(query('Saída'!$J$3:$R$505,""Select M where N = '""&amp;$B33&amp;""' and K = ""&amp;$A33,0))-1)&amp;rept(query('Saída'!$J$3:$R$505,""Select Q where N = '""&amp;$B33&amp;""' and K = ""&amp;$A33,0)&amp;""-"",query('Saída'!$J$3:$R$505,""Select "&amp;"P where N = '""&amp;$B33&amp;""' and K = ""&amp;$A33,0)),""-""))"),0.0)</f>
        <v>0</v>
      </c>
      <c r="F33" s="423">
        <f>IFERROR(__xludf.DUMMYFUNCTION("""COMPUTED_VALUE"""),100.0)</f>
        <v>100</v>
      </c>
      <c r="G33" s="423"/>
      <c r="H33" s="423"/>
      <c r="I33" s="423"/>
      <c r="J33" s="423"/>
      <c r="K33" s="423"/>
      <c r="L33" s="423"/>
      <c r="M33" s="423"/>
      <c r="N33" s="423"/>
      <c r="O33" s="423"/>
      <c r="P33" s="423"/>
      <c r="Q33" s="423"/>
      <c r="R33" s="423"/>
      <c r="S33" s="423"/>
      <c r="T33" s="423"/>
      <c r="U33" s="423"/>
      <c r="V33" s="423"/>
      <c r="W33" s="423"/>
      <c r="X33" s="423"/>
      <c r="Y33" s="423"/>
      <c r="Z33" s="423"/>
      <c r="AA33" s="424"/>
      <c r="AB33" s="21"/>
      <c r="AC33" s="246"/>
      <c r="AD33" s="394"/>
      <c r="AE33" s="370"/>
      <c r="AF33" s="21"/>
      <c r="AG33" s="394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</row>
    <row r="34">
      <c r="A34" s="427">
        <f>IFERROR(__xludf.DUMMYFUNCTION("""COMPUTED_VALUE"""),43.0)</f>
        <v>43</v>
      </c>
      <c r="B34" s="418" t="str">
        <f>IFERROR(__xludf.DUMMYFUNCTION("""COMPUTED_VALUE"""),"Sushi")</f>
        <v>Sushi</v>
      </c>
      <c r="C34" s="419" t="str">
        <f>IFERROR(__xludf.DUMMYFUNCTION("IF(ISBLANK($B34),"""",query('Saída'!$K$3:$R$505,""Select R where N = '""&amp;$B34&amp;""' and K = ""&amp;$A34,0))"),"Credicard")</f>
        <v>Credicard</v>
      </c>
      <c r="D34" s="420"/>
      <c r="E34" s="421">
        <f>IFERROR(__xludf.DUMMYFUNCTION("if(isblank($B34),"""",split(rept(0&amp;""-"",month(query('Saída'!$J$3:$R$505,""Select M where N = '""&amp;$B34&amp;""' and K = ""&amp;$A34,0))-1)&amp;rept(query('Saída'!$J$3:$R$505,""Select Q where N = '""&amp;$B34&amp;""' and K = ""&amp;$A34,0)&amp;""-"",query('Saída'!$J$3:$R$505,""Select "&amp;"P where N = '""&amp;$B34&amp;""' and K = ""&amp;$A34,0)),""-""))"),0.0)</f>
        <v>0</v>
      </c>
      <c r="F34" s="423">
        <f>IFERROR(__xludf.DUMMYFUNCTION("""COMPUTED_VALUE"""),82.9)</f>
        <v>82.9</v>
      </c>
      <c r="G34" s="423"/>
      <c r="H34" s="423"/>
      <c r="I34" s="423"/>
      <c r="J34" s="423"/>
      <c r="K34" s="423"/>
      <c r="L34" s="423"/>
      <c r="M34" s="423"/>
      <c r="N34" s="423"/>
      <c r="O34" s="423"/>
      <c r="P34" s="423"/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424"/>
      <c r="AB34" s="21"/>
      <c r="AC34" s="246"/>
      <c r="AD34" s="394"/>
      <c r="AE34" s="370"/>
      <c r="AF34" s="21"/>
      <c r="AG34" s="394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</row>
    <row r="35">
      <c r="A35" s="427">
        <f>IFERROR(__xludf.DUMMYFUNCTION("""COMPUTED_VALUE"""),44.0)</f>
        <v>44</v>
      </c>
      <c r="B35" s="418" t="str">
        <f>IFERROR(__xludf.DUMMYFUNCTION("""COMPUTED_VALUE"""),"Lucena")</f>
        <v>Lucena</v>
      </c>
      <c r="C35" s="419" t="str">
        <f>IFERROR(__xludf.DUMMYFUNCTION("IF(ISBLANK($B35),"""",query('Saída'!$K$3:$R$505,""Select R where N = '""&amp;$B35&amp;""' and K = ""&amp;$A35,0))"),"Carrefour")</f>
        <v>Carrefour</v>
      </c>
      <c r="D35" s="420"/>
      <c r="E35" s="421">
        <f>IFERROR(__xludf.DUMMYFUNCTION("if(isblank($B35),"""",split(rept(0&amp;""-"",month(query('Saída'!$J$3:$R$505,""Select M where N = '""&amp;$B35&amp;""' and K = ""&amp;$A35,0))-1)&amp;rept(query('Saída'!$J$3:$R$505,""Select Q where N = '""&amp;$B35&amp;""' and K = ""&amp;$A35,0)&amp;""-"",query('Saída'!$J$3:$R$505,""Select "&amp;"P where N = '""&amp;$B35&amp;""' and K = ""&amp;$A35,0)),""-""))"),0.0)</f>
        <v>0</v>
      </c>
      <c r="F35" s="423">
        <f>IFERROR(__xludf.DUMMYFUNCTION("""COMPUTED_VALUE"""),107.87)</f>
        <v>107.87</v>
      </c>
      <c r="G35" s="423"/>
      <c r="H35" s="423"/>
      <c r="I35" s="423"/>
      <c r="J35" s="423"/>
      <c r="K35" s="423"/>
      <c r="L35" s="423"/>
      <c r="M35" s="423"/>
      <c r="N35" s="423"/>
      <c r="O35" s="423"/>
      <c r="P35" s="423"/>
      <c r="Q35" s="423"/>
      <c r="R35" s="423"/>
      <c r="S35" s="423"/>
      <c r="T35" s="423"/>
      <c r="U35" s="423"/>
      <c r="V35" s="423"/>
      <c r="W35" s="423"/>
      <c r="X35" s="423"/>
      <c r="Y35" s="423"/>
      <c r="Z35" s="423"/>
      <c r="AA35" s="424"/>
      <c r="AB35" s="21"/>
      <c r="AC35" s="246"/>
      <c r="AD35" s="394"/>
      <c r="AE35" s="370"/>
      <c r="AF35" s="21"/>
      <c r="AG35" s="394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</row>
    <row r="36">
      <c r="A36" s="427">
        <f>IFERROR(__xludf.DUMMYFUNCTION("""COMPUTED_VALUE"""),45.0)</f>
        <v>45</v>
      </c>
      <c r="B36" s="418" t="str">
        <f>IFERROR(__xludf.DUMMYFUNCTION("""COMPUTED_VALUE"""),"Mineirão")</f>
        <v>Mineirão</v>
      </c>
      <c r="C36" s="419" t="str">
        <f>IFERROR(__xludf.DUMMYFUNCTION("IF(ISBLANK($B36),"""",query('Saída'!$K$3:$R$505,""Select R where N = '""&amp;$B36&amp;""' and K = ""&amp;$A36,0))"),"Carrefour")</f>
        <v>Carrefour</v>
      </c>
      <c r="D36" s="420"/>
      <c r="E36" s="421">
        <f>IFERROR(__xludf.DUMMYFUNCTION("if(isblank($B36),"""",split(rept(0&amp;""-"",month(query('Saída'!$J$3:$R$505,""Select M where N = '""&amp;$B36&amp;""' and K = ""&amp;$A36,0))-1)&amp;rept(query('Saída'!$J$3:$R$505,""Select Q where N = '""&amp;$B36&amp;""' and K = ""&amp;$A36,0)&amp;""-"",query('Saída'!$J$3:$R$505,""Select "&amp;"P where N = '""&amp;$B36&amp;""' and K = ""&amp;$A36,0)),""-""))"),0.0)</f>
        <v>0</v>
      </c>
      <c r="F36" s="423">
        <f>IFERROR(__xludf.DUMMYFUNCTION("""COMPUTED_VALUE"""),28.22)</f>
        <v>28.22</v>
      </c>
      <c r="G36" s="423"/>
      <c r="H36" s="423"/>
      <c r="I36" s="423"/>
      <c r="J36" s="423"/>
      <c r="K36" s="423"/>
      <c r="L36" s="423"/>
      <c r="M36" s="423"/>
      <c r="N36" s="423"/>
      <c r="O36" s="423"/>
      <c r="P36" s="423"/>
      <c r="Q36" s="423"/>
      <c r="R36" s="423"/>
      <c r="S36" s="423"/>
      <c r="T36" s="423"/>
      <c r="U36" s="423"/>
      <c r="V36" s="423"/>
      <c r="W36" s="423"/>
      <c r="X36" s="423"/>
      <c r="Y36" s="423"/>
      <c r="Z36" s="423"/>
      <c r="AA36" s="424"/>
      <c r="AB36" s="21"/>
      <c r="AC36" s="246"/>
      <c r="AD36" s="394"/>
      <c r="AE36" s="370"/>
      <c r="AF36" s="21"/>
      <c r="AG36" s="394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</row>
    <row r="37">
      <c r="A37" s="427">
        <f>IFERROR(__xludf.DUMMYFUNCTION("""COMPUTED_VALUE"""),46.0)</f>
        <v>46</v>
      </c>
      <c r="B37" s="418" t="str">
        <f>IFERROR(__xludf.DUMMYFUNCTION("""COMPUTED_VALUE"""),"Combustível")</f>
        <v>Combustível</v>
      </c>
      <c r="C37" s="419" t="str">
        <f>IFERROR(__xludf.DUMMYFUNCTION("IF(ISBLANK($B37),"""",query('Saída'!$K$3:$R$505,""Select R where N = '""&amp;$B37&amp;""' and K = ""&amp;$A37,0))"),"Credicard")</f>
        <v>Credicard</v>
      </c>
      <c r="D37" s="420"/>
      <c r="E37" s="421">
        <f>IFERROR(__xludf.DUMMYFUNCTION("if(isblank($B37),"""",split(rept(0&amp;""-"",month(query('Saída'!$J$3:$R$505,""Select M where N = '""&amp;$B37&amp;""' and K = ""&amp;$A37,0))-1)&amp;rept(query('Saída'!$J$3:$R$505,""Select Q where N = '""&amp;$B37&amp;""' and K = ""&amp;$A37,0)&amp;""-"",query('Saída'!$J$3:$R$505,""Select "&amp;"P where N = '""&amp;$B37&amp;""' and K = ""&amp;$A37,0)),""-""))"),0.0)</f>
        <v>0</v>
      </c>
      <c r="F37" s="423">
        <f>IFERROR(__xludf.DUMMYFUNCTION("""COMPUTED_VALUE"""),125.3)</f>
        <v>125.3</v>
      </c>
      <c r="G37" s="423"/>
      <c r="H37" s="423"/>
      <c r="I37" s="423"/>
      <c r="J37" s="423"/>
      <c r="K37" s="423"/>
      <c r="L37" s="423"/>
      <c r="M37" s="423"/>
      <c r="N37" s="423"/>
      <c r="O37" s="423"/>
      <c r="P37" s="423"/>
      <c r="Q37" s="423"/>
      <c r="R37" s="423"/>
      <c r="S37" s="423"/>
      <c r="T37" s="423"/>
      <c r="U37" s="423"/>
      <c r="V37" s="423"/>
      <c r="W37" s="423"/>
      <c r="X37" s="423"/>
      <c r="Y37" s="423"/>
      <c r="Z37" s="423"/>
      <c r="AA37" s="424"/>
      <c r="AB37" s="21"/>
      <c r="AC37" s="246"/>
      <c r="AD37" s="394"/>
      <c r="AE37" s="370"/>
      <c r="AF37" s="21"/>
      <c r="AG37" s="394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</row>
    <row r="38">
      <c r="A38" s="427">
        <f>IFERROR(__xludf.DUMMYFUNCTION("""COMPUTED_VALUE"""),47.0)</f>
        <v>47</v>
      </c>
      <c r="B38" s="418" t="str">
        <f>IFERROR(__xludf.DUMMYFUNCTION("""COMPUTED_VALUE"""),"Mineirão")</f>
        <v>Mineirão</v>
      </c>
      <c r="C38" s="419" t="str">
        <f>IFERROR(__xludf.DUMMYFUNCTION("IF(ISBLANK($B38),"""",query('Saída'!$K$3:$R$505,""Select R where N = '""&amp;$B38&amp;""' and K = ""&amp;$A38,0))"),"Carrefour")</f>
        <v>Carrefour</v>
      </c>
      <c r="D38" s="420"/>
      <c r="E38" s="421">
        <f>IFERROR(__xludf.DUMMYFUNCTION("if(isblank($B38),"""",split(rept(0&amp;""-"",month(query('Saída'!$J$3:$R$505,""Select M where N = '""&amp;$B38&amp;""' and K = ""&amp;$A38,0))-1)&amp;rept(query('Saída'!$J$3:$R$505,""Select Q where N = '""&amp;$B38&amp;""' and K = ""&amp;$A38,0)&amp;""-"",query('Saída'!$J$3:$R$505,""Select "&amp;"P where N = '""&amp;$B38&amp;""' and K = ""&amp;$A38,0)),""-""))"),0.0)</f>
        <v>0</v>
      </c>
      <c r="F38" s="423">
        <f>IFERROR(__xludf.DUMMYFUNCTION("""COMPUTED_VALUE"""),127.46)</f>
        <v>127.46</v>
      </c>
      <c r="G38" s="423"/>
      <c r="H38" s="423"/>
      <c r="I38" s="423"/>
      <c r="J38" s="423"/>
      <c r="K38" s="423"/>
      <c r="L38" s="423"/>
      <c r="M38" s="423"/>
      <c r="N38" s="423"/>
      <c r="O38" s="423"/>
      <c r="P38" s="423"/>
      <c r="Q38" s="423"/>
      <c r="R38" s="423"/>
      <c r="S38" s="423"/>
      <c r="T38" s="423"/>
      <c r="U38" s="423"/>
      <c r="V38" s="423"/>
      <c r="W38" s="423"/>
      <c r="X38" s="423"/>
      <c r="Y38" s="423"/>
      <c r="Z38" s="423"/>
      <c r="AA38" s="424"/>
      <c r="AB38" s="21"/>
      <c r="AC38" s="246"/>
      <c r="AD38" s="394"/>
      <c r="AE38" s="370"/>
      <c r="AF38" s="21"/>
      <c r="AG38" s="394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</row>
    <row r="39">
      <c r="A39" s="427">
        <f>IFERROR(__xludf.DUMMYFUNCTION("""COMPUTED_VALUE"""),48.0)</f>
        <v>48</v>
      </c>
      <c r="B39" s="418" t="str">
        <f>IFERROR(__xludf.DUMMYFUNCTION("""COMPUTED_VALUE"""),"MIneirão")</f>
        <v>MIneirão</v>
      </c>
      <c r="C39" s="419" t="str">
        <f>IFERROR(__xludf.DUMMYFUNCTION("IF(ISBLANK($B39),"""",query('Saída'!$K$3:$R$505,""Select R where N = '""&amp;$B39&amp;""' and K = ""&amp;$A39,0))"),"Carrefour")</f>
        <v>Carrefour</v>
      </c>
      <c r="D39" s="420"/>
      <c r="E39" s="421">
        <f>IFERROR(__xludf.DUMMYFUNCTION("if(isblank($B39),"""",split(rept(0&amp;""-"",month(query('Saída'!$J$3:$R$505,""Select M where N = '""&amp;$B39&amp;""' and K = ""&amp;$A39,0))-1)&amp;rept(query('Saída'!$J$3:$R$505,""Select Q where N = '""&amp;$B39&amp;""' and K = ""&amp;$A39,0)&amp;""-"",query('Saída'!$J$3:$R$505,""Select "&amp;"P where N = '""&amp;$B39&amp;""' and K = ""&amp;$A39,0)),""-""))"),0.0)</f>
        <v>0</v>
      </c>
      <c r="F39" s="423">
        <f>IFERROR(__xludf.DUMMYFUNCTION("""COMPUTED_VALUE"""),156.98)</f>
        <v>156.98</v>
      </c>
      <c r="G39" s="423"/>
      <c r="H39" s="423"/>
      <c r="I39" s="423"/>
      <c r="J39" s="423"/>
      <c r="K39" s="423"/>
      <c r="L39" s="423"/>
      <c r="M39" s="423"/>
      <c r="N39" s="423"/>
      <c r="O39" s="423"/>
      <c r="P39" s="423"/>
      <c r="Q39" s="423"/>
      <c r="R39" s="423"/>
      <c r="S39" s="423"/>
      <c r="T39" s="423"/>
      <c r="U39" s="423"/>
      <c r="V39" s="423"/>
      <c r="W39" s="423"/>
      <c r="X39" s="423"/>
      <c r="Y39" s="423"/>
      <c r="Z39" s="423"/>
      <c r="AA39" s="424"/>
      <c r="AB39" s="21"/>
      <c r="AC39" s="246"/>
      <c r="AD39" s="394"/>
      <c r="AE39" s="370"/>
      <c r="AF39" s="21"/>
      <c r="AG39" s="394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</row>
    <row r="40">
      <c r="A40" s="427">
        <f>IFERROR(__xludf.DUMMYFUNCTION("""COMPUTED_VALUE"""),49.0)</f>
        <v>49</v>
      </c>
      <c r="B40" s="418" t="str">
        <f>IFERROR(__xludf.DUMMYFUNCTION("""COMPUTED_VALUE"""),"Farmácia")</f>
        <v>Farmácia</v>
      </c>
      <c r="C40" s="419" t="str">
        <f>IFERROR(__xludf.DUMMYFUNCTION("IF(ISBLANK($B40),"""",query('Saída'!$K$3:$R$505,""Select R where N = '""&amp;$B40&amp;""' and K = ""&amp;$A40,0))"),"Carrefour")</f>
        <v>Carrefour</v>
      </c>
      <c r="D40" s="420"/>
      <c r="E40" s="421">
        <f>IFERROR(__xludf.DUMMYFUNCTION("if(isblank($B40),"""",split(rept(0&amp;""-"",month(query('Saída'!$J$3:$R$505,""Select M where N = '""&amp;$B40&amp;""' and K = ""&amp;$A40,0))-1)&amp;rept(query('Saída'!$J$3:$R$505,""Select Q where N = '""&amp;$B40&amp;""' and K = ""&amp;$A40,0)&amp;""-"",query('Saída'!$J$3:$R$505,""Select "&amp;"P where N = '""&amp;$B40&amp;""' and K = ""&amp;$A40,0)),""-""))"),0.0)</f>
        <v>0</v>
      </c>
      <c r="F40" s="423">
        <f>IFERROR(__xludf.DUMMYFUNCTION("""COMPUTED_VALUE"""),13.96)</f>
        <v>13.96</v>
      </c>
      <c r="G40" s="423"/>
      <c r="H40" s="423"/>
      <c r="I40" s="423"/>
      <c r="J40" s="423"/>
      <c r="K40" s="423"/>
      <c r="L40" s="423"/>
      <c r="M40" s="423"/>
      <c r="N40" s="423"/>
      <c r="O40" s="423"/>
      <c r="P40" s="423"/>
      <c r="Q40" s="423"/>
      <c r="R40" s="423"/>
      <c r="S40" s="423"/>
      <c r="T40" s="423"/>
      <c r="U40" s="423"/>
      <c r="V40" s="423"/>
      <c r="W40" s="423"/>
      <c r="X40" s="423"/>
      <c r="Y40" s="423"/>
      <c r="Z40" s="423"/>
      <c r="AA40" s="424"/>
      <c r="AB40" s="21"/>
      <c r="AC40" s="246"/>
      <c r="AD40" s="394"/>
      <c r="AE40" s="370"/>
      <c r="AF40" s="21"/>
      <c r="AG40" s="394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</row>
    <row r="41">
      <c r="A41" s="427">
        <f>IFERROR(__xludf.DUMMYFUNCTION("""COMPUTED_VALUE"""),83.0)</f>
        <v>83</v>
      </c>
      <c r="B41" s="418" t="str">
        <f>IFERROR(__xludf.DUMMYFUNCTION("""COMPUTED_VALUE"""),"Anuidade Smart")</f>
        <v>Anuidade Smart</v>
      </c>
      <c r="C41" s="419" t="str">
        <f>IFERROR(__xludf.DUMMYFUNCTION("IF(ISBLANK($B41),"""",query('Saída'!$K$3:$R$505,""Select R where N = '""&amp;$B41&amp;""' and K = ""&amp;$A41,0))"),"Nubank")</f>
        <v>Nubank</v>
      </c>
      <c r="D41" s="420"/>
      <c r="E41" s="421">
        <f>IFERROR(__xludf.DUMMYFUNCTION("if(isblank($B41),"""",split(rept(0&amp;""-"",month(query('Saída'!$J$3:$R$505,""Select M where N = '""&amp;$B41&amp;""' and K = ""&amp;$A41,0))-1)&amp;rept(query('Saída'!$J$3:$R$505,""Select Q where N = '""&amp;$B41&amp;""' and K = ""&amp;$A41,0)&amp;""-"",query('Saída'!$J$3:$R$505,""Select "&amp;"P where N = '""&amp;$B41&amp;""' and K = ""&amp;$A41,0)),""-""))"),0.0)</f>
        <v>0</v>
      </c>
      <c r="F41" s="423">
        <f>IFERROR(__xludf.DUMMYFUNCTION("""COMPUTED_VALUE"""),0.0)</f>
        <v>0</v>
      </c>
      <c r="G41" s="423">
        <f>IFERROR(__xludf.DUMMYFUNCTION("""COMPUTED_VALUE"""),74.95)</f>
        <v>74.95</v>
      </c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3"/>
      <c r="X41" s="423"/>
      <c r="Y41" s="423"/>
      <c r="Z41" s="423"/>
      <c r="AA41" s="424"/>
      <c r="AB41" s="21"/>
      <c r="AC41" s="246"/>
      <c r="AD41" s="394"/>
      <c r="AE41" s="370"/>
      <c r="AF41" s="21"/>
      <c r="AG41" s="394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</row>
    <row r="42">
      <c r="A42" s="427">
        <f>IFERROR(__xludf.DUMMYFUNCTION("""COMPUTED_VALUE"""),84.0)</f>
        <v>84</v>
      </c>
      <c r="B42" s="418" t="str">
        <f>IFERROR(__xludf.DUMMYFUNCTION("""COMPUTED_VALUE"""),"Crédito tim")</f>
        <v>Crédito tim</v>
      </c>
      <c r="C42" s="419" t="str">
        <f>IFERROR(__xludf.DUMMYFUNCTION("IF(ISBLANK($B42),"""",query('Saída'!$K$3:$R$505,""Select R where N = '""&amp;$B42&amp;""' and K = ""&amp;$A42,0))"),"Carrefour")</f>
        <v>Carrefour</v>
      </c>
      <c r="D42" s="420"/>
      <c r="E42" s="421">
        <f>IFERROR(__xludf.DUMMYFUNCTION("if(isblank($B42),"""",split(rept(0&amp;""-"",month(query('Saída'!$J$3:$R$505,""Select M where N = '""&amp;$B42&amp;""' and K = ""&amp;$A42,0))-1)&amp;rept(query('Saída'!$J$3:$R$505,""Select Q where N = '""&amp;$B42&amp;""' and K = ""&amp;$A42,0)&amp;""-"",query('Saída'!$J$3:$R$505,""Select "&amp;"P where N = '""&amp;$B42&amp;""' and K = ""&amp;$A42,0)),""-""))"),0.0)</f>
        <v>0</v>
      </c>
      <c r="F42" s="423">
        <f>IFERROR(__xludf.DUMMYFUNCTION("""COMPUTED_VALUE"""),0.0)</f>
        <v>0</v>
      </c>
      <c r="G42" s="423">
        <f>IFERROR(__xludf.DUMMYFUNCTION("""COMPUTED_VALUE"""),15.0)</f>
        <v>15</v>
      </c>
      <c r="H42" s="423"/>
      <c r="I42" s="428"/>
      <c r="J42" s="423"/>
      <c r="K42" s="423"/>
      <c r="L42" s="423"/>
      <c r="M42" s="423"/>
      <c r="N42" s="423"/>
      <c r="O42" s="423"/>
      <c r="P42" s="423"/>
      <c r="Q42" s="423"/>
      <c r="R42" s="423"/>
      <c r="S42" s="423"/>
      <c r="T42" s="423"/>
      <c r="U42" s="423"/>
      <c r="V42" s="423"/>
      <c r="W42" s="423"/>
      <c r="X42" s="423"/>
      <c r="Y42" s="423"/>
      <c r="Z42" s="423"/>
      <c r="AA42" s="424"/>
      <c r="AB42" s="21"/>
      <c r="AC42" s="246"/>
      <c r="AD42" s="394"/>
      <c r="AE42" s="370"/>
      <c r="AF42" s="21"/>
      <c r="AG42" s="394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</row>
    <row r="43">
      <c r="A43" s="427">
        <f>IFERROR(__xludf.DUMMYFUNCTION("""COMPUTED_VALUE"""),124.0)</f>
        <v>124</v>
      </c>
      <c r="B43" s="418" t="str">
        <f>IFERROR(__xludf.DUMMYFUNCTION("""COMPUTED_VALUE"""),"Pizzas")</f>
        <v>Pizzas</v>
      </c>
      <c r="C43" s="419" t="str">
        <f>IFERROR(__xludf.DUMMYFUNCTION("IF(ISBLANK($B43),"""",query('Saída'!$K$3:$R$505,""Select R where N = '""&amp;$B43&amp;""' and K = ""&amp;$A43,0))"),"Nubank")</f>
        <v>Nubank</v>
      </c>
      <c r="D43" s="420"/>
      <c r="E43" s="421">
        <f>IFERROR(__xludf.DUMMYFUNCTION("if(isblank($B43),"""",split(rept(0&amp;""-"",month(query('Saída'!$J$3:$R$505,""Select M where N = '""&amp;$B43&amp;""' and K = ""&amp;$A43,0))-1)&amp;rept(query('Saída'!$J$3:$R$505,""Select Q where N = '""&amp;$B43&amp;""' and K = ""&amp;$A43,0)&amp;""-"",query('Saída'!$J$3:$R$505,""Select "&amp;"P where N = '""&amp;$B43&amp;""' and K = ""&amp;$A43,0)),""-""))"),0.0)</f>
        <v>0</v>
      </c>
      <c r="F43" s="423">
        <f>IFERROR(__xludf.DUMMYFUNCTION("""COMPUTED_VALUE"""),0.0)</f>
        <v>0</v>
      </c>
      <c r="G43" s="423">
        <f>IFERROR(__xludf.DUMMYFUNCTION("""COMPUTED_VALUE"""),0.0)</f>
        <v>0</v>
      </c>
      <c r="H43" s="423">
        <f>IFERROR(__xludf.DUMMYFUNCTION("""COMPUTED_VALUE"""),84.0)</f>
        <v>84</v>
      </c>
      <c r="I43" s="423"/>
      <c r="J43" s="423"/>
      <c r="K43" s="423"/>
      <c r="L43" s="423"/>
      <c r="M43" s="423"/>
      <c r="N43" s="423"/>
      <c r="O43" s="423"/>
      <c r="P43" s="423"/>
      <c r="Q43" s="423"/>
      <c r="R43" s="423"/>
      <c r="S43" s="423"/>
      <c r="T43" s="423"/>
      <c r="U43" s="423"/>
      <c r="V43" s="423"/>
      <c r="W43" s="423"/>
      <c r="X43" s="423"/>
      <c r="Y43" s="423"/>
      <c r="Z43" s="423"/>
      <c r="AA43" s="424"/>
      <c r="AB43" s="21"/>
      <c r="AC43" s="246"/>
      <c r="AD43" s="394"/>
      <c r="AE43" s="370"/>
      <c r="AF43" s="21"/>
      <c r="AG43" s="394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</row>
    <row r="44">
      <c r="A44" s="427">
        <f>IFERROR(__xludf.DUMMYFUNCTION("""COMPUTED_VALUE"""),125.0)</f>
        <v>125</v>
      </c>
      <c r="B44" s="418" t="str">
        <f>IFERROR(__xludf.DUMMYFUNCTION("""COMPUTED_VALUE"""),"Tablet")</f>
        <v>Tablet</v>
      </c>
      <c r="C44" s="419" t="str">
        <f>IFERROR(__xludf.DUMMYFUNCTION("IF(ISBLANK($B44),"""",query('Saída'!$K$3:$R$505,""Select R where N = '""&amp;$B44&amp;""' and K = ""&amp;$A44,0))"),"Carrefour")</f>
        <v>Carrefour</v>
      </c>
      <c r="D44" s="420"/>
      <c r="E44" s="421">
        <f>IFERROR(__xludf.DUMMYFUNCTION("if(isblank($B44),"""",split(rept(0&amp;""-"",month(query('Saída'!$J$3:$R$505,""Select M where N = '""&amp;$B44&amp;""' and K = ""&amp;$A44,0))-1)&amp;rept(query('Saída'!$J$3:$R$505,""Select Q where N = '""&amp;$B44&amp;""' and K = ""&amp;$A44,0)&amp;""-"",query('Saída'!$J$3:$R$505,""Select "&amp;"P where N = '""&amp;$B44&amp;""' and K = ""&amp;$A44,0)),""-""))"),0.0)</f>
        <v>0</v>
      </c>
      <c r="F44" s="423">
        <f>IFERROR(__xludf.DUMMYFUNCTION("""COMPUTED_VALUE"""),0.0)</f>
        <v>0</v>
      </c>
      <c r="G44" s="423">
        <f>IFERROR(__xludf.DUMMYFUNCTION("""COMPUTED_VALUE"""),0.0)</f>
        <v>0</v>
      </c>
      <c r="H44" s="423">
        <f>IFERROR(__xludf.DUMMYFUNCTION("""COMPUTED_VALUE"""),117.45)</f>
        <v>117.45</v>
      </c>
      <c r="I44" s="423">
        <f>IFERROR(__xludf.DUMMYFUNCTION("""COMPUTED_VALUE"""),117.45)</f>
        <v>117.45</v>
      </c>
      <c r="J44" s="423">
        <f>IFERROR(__xludf.DUMMYFUNCTION("""COMPUTED_VALUE"""),117.45)</f>
        <v>117.45</v>
      </c>
      <c r="K44" s="423">
        <f>IFERROR(__xludf.DUMMYFUNCTION("""COMPUTED_VALUE"""),117.45)</f>
        <v>117.45</v>
      </c>
      <c r="L44" s="423">
        <f>IFERROR(__xludf.DUMMYFUNCTION("""COMPUTED_VALUE"""),117.45)</f>
        <v>117.45</v>
      </c>
      <c r="M44" s="423">
        <f>IFERROR(__xludf.DUMMYFUNCTION("""COMPUTED_VALUE"""),117.45)</f>
        <v>117.45</v>
      </c>
      <c r="N44" s="423">
        <f>IFERROR(__xludf.DUMMYFUNCTION("""COMPUTED_VALUE"""),117.45)</f>
        <v>117.45</v>
      </c>
      <c r="O44" s="423">
        <f>IFERROR(__xludf.DUMMYFUNCTION("""COMPUTED_VALUE"""),117.45)</f>
        <v>117.45</v>
      </c>
      <c r="P44" s="423">
        <f>IFERROR(__xludf.DUMMYFUNCTION("""COMPUTED_VALUE"""),117.45)</f>
        <v>117.45</v>
      </c>
      <c r="Q44" s="423">
        <f>IFERROR(__xludf.DUMMYFUNCTION("""COMPUTED_VALUE"""),117.45)</f>
        <v>117.45</v>
      </c>
      <c r="R44" s="423">
        <f>IFERROR(__xludf.DUMMYFUNCTION("""COMPUTED_VALUE"""),117.45)</f>
        <v>117.45</v>
      </c>
      <c r="S44" s="423">
        <f>IFERROR(__xludf.DUMMYFUNCTION("""COMPUTED_VALUE"""),117.45)</f>
        <v>117.45</v>
      </c>
      <c r="T44" s="423">
        <f>IFERROR(__xludf.DUMMYFUNCTION("""COMPUTED_VALUE"""),117.45)</f>
        <v>117.45</v>
      </c>
      <c r="U44" s="423">
        <f>IFERROR(__xludf.DUMMYFUNCTION("""COMPUTED_VALUE"""),117.45)</f>
        <v>117.45</v>
      </c>
      <c r="V44" s="423">
        <f>IFERROR(__xludf.DUMMYFUNCTION("""COMPUTED_VALUE"""),117.45)</f>
        <v>117.45</v>
      </c>
      <c r="W44" s="423">
        <f>IFERROR(__xludf.DUMMYFUNCTION("""COMPUTED_VALUE"""),117.45)</f>
        <v>117.45</v>
      </c>
      <c r="X44" s="423">
        <f>IFERROR(__xludf.DUMMYFUNCTION("""COMPUTED_VALUE"""),117.45)</f>
        <v>117.45</v>
      </c>
      <c r="Y44" s="423">
        <f>IFERROR(__xludf.DUMMYFUNCTION("""COMPUTED_VALUE"""),117.45)</f>
        <v>117.45</v>
      </c>
      <c r="Z44" s="423">
        <f>IFERROR(__xludf.DUMMYFUNCTION("""COMPUTED_VALUE"""),117.45)</f>
        <v>117.45</v>
      </c>
      <c r="AA44" s="424">
        <f>IFERROR(__xludf.DUMMYFUNCTION("""COMPUTED_VALUE"""),117.45)</f>
        <v>117.45</v>
      </c>
      <c r="AB44" s="21"/>
      <c r="AC44" s="246"/>
      <c r="AD44" s="394"/>
      <c r="AE44" s="370"/>
      <c r="AF44" s="21"/>
      <c r="AG44" s="394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</row>
    <row r="45">
      <c r="A45" s="427">
        <f>IFERROR(__xludf.DUMMYFUNCTION("""COMPUTED_VALUE"""),165.0)</f>
        <v>165</v>
      </c>
      <c r="B45" s="418" t="str">
        <f>IFERROR(__xludf.DUMMYFUNCTION("""COMPUTED_VALUE"""),"Anuidade Smart")</f>
        <v>Anuidade Smart</v>
      </c>
      <c r="C45" s="419" t="str">
        <f>IFERROR(__xludf.DUMMYFUNCTION("IF(ISBLANK($B45),"""",query('Saída'!$K$3:$R$505,""Select R where N = '""&amp;$B45&amp;""' and K = ""&amp;$A45,0))"),"Nubank")</f>
        <v>Nubank</v>
      </c>
      <c r="D45" s="420"/>
      <c r="E45" s="421">
        <f>IFERROR(__xludf.DUMMYFUNCTION("if(isblank($B45),"""",split(rept(0&amp;""-"",month(query('Saída'!$J$3:$R$505,""Select M where N = '""&amp;$B45&amp;""' and K = ""&amp;$A45,0))-1)&amp;rept(query('Saída'!$J$3:$R$505,""Select Q where N = '""&amp;$B45&amp;""' and K = ""&amp;$A45,0)&amp;""-"",query('Saída'!$J$3:$R$505,""Select "&amp;"P where N = '""&amp;$B45&amp;""' and K = ""&amp;$A45,0)),""-""))"),0.0)</f>
        <v>0</v>
      </c>
      <c r="F45" s="423">
        <f>IFERROR(__xludf.DUMMYFUNCTION("""COMPUTED_VALUE"""),0.0)</f>
        <v>0</v>
      </c>
      <c r="G45" s="423">
        <f>IFERROR(__xludf.DUMMYFUNCTION("""COMPUTED_VALUE"""),0.0)</f>
        <v>0</v>
      </c>
      <c r="H45" s="423">
        <f>IFERROR(__xludf.DUMMYFUNCTION("""COMPUTED_VALUE"""),0.0)</f>
        <v>0</v>
      </c>
      <c r="I45" s="423">
        <f>IFERROR(__xludf.DUMMYFUNCTION("""COMPUTED_VALUE"""),74.95)</f>
        <v>74.95</v>
      </c>
      <c r="J45" s="423"/>
      <c r="K45" s="423"/>
      <c r="L45" s="423"/>
      <c r="M45" s="423"/>
      <c r="N45" s="423"/>
      <c r="O45" s="423"/>
      <c r="P45" s="423"/>
      <c r="Q45" s="423"/>
      <c r="R45" s="423"/>
      <c r="S45" s="423"/>
      <c r="T45" s="423"/>
      <c r="U45" s="423"/>
      <c r="V45" s="423"/>
      <c r="W45" s="423"/>
      <c r="X45" s="423"/>
      <c r="Y45" s="423"/>
      <c r="Z45" s="423"/>
      <c r="AA45" s="424"/>
      <c r="AB45" s="21"/>
      <c r="AC45" s="246"/>
      <c r="AD45" s="394"/>
      <c r="AE45" s="370"/>
      <c r="AF45" s="21"/>
      <c r="AG45" s="394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</row>
    <row r="46">
      <c r="A46" s="427">
        <f>IFERROR(__xludf.DUMMYFUNCTION("""COMPUTED_VALUE"""),166.0)</f>
        <v>166</v>
      </c>
      <c r="B46" s="418" t="str">
        <f>IFERROR(__xludf.DUMMYFUNCTION("""COMPUTED_VALUE"""),"Feira")</f>
        <v>Feira</v>
      </c>
      <c r="C46" s="419" t="str">
        <f>IFERROR(__xludf.DUMMYFUNCTION("IF(ISBLANK($B46),"""",query('Saída'!$K$3:$R$505,""Select R where N = '""&amp;$B46&amp;""' and K = ""&amp;$A46,0))"),"Carrefour")</f>
        <v>Carrefour</v>
      </c>
      <c r="D46" s="420"/>
      <c r="E46" s="421">
        <f>IFERROR(__xludf.DUMMYFUNCTION("if(isblank($B46),"""",split(rept(0&amp;""-"",month(query('Saída'!$J$3:$R$505,""Select M where N = '""&amp;$B46&amp;""' and K = ""&amp;$A46,0))-1)&amp;rept(query('Saída'!$J$3:$R$505,""Select Q where N = '""&amp;$B46&amp;""' and K = ""&amp;$A46,0)&amp;""-"",query('Saída'!$J$3:$R$505,""Select "&amp;"P where N = '""&amp;$B46&amp;""' and K = ""&amp;$A46,0)),""-""))"),0.0)</f>
        <v>0</v>
      </c>
      <c r="F46" s="423">
        <f>IFERROR(__xludf.DUMMYFUNCTION("""COMPUTED_VALUE"""),0.0)</f>
        <v>0</v>
      </c>
      <c r="G46" s="423">
        <f>IFERROR(__xludf.DUMMYFUNCTION("""COMPUTED_VALUE"""),0.0)</f>
        <v>0</v>
      </c>
      <c r="H46" s="423">
        <f>IFERROR(__xludf.DUMMYFUNCTION("""COMPUTED_VALUE"""),0.0)</f>
        <v>0</v>
      </c>
      <c r="I46" s="423">
        <f>IFERROR(__xludf.DUMMYFUNCTION("""COMPUTED_VALUE"""),43.86)</f>
        <v>43.86</v>
      </c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23"/>
      <c r="Z46" s="423"/>
      <c r="AA46" s="424"/>
      <c r="AB46" s="21"/>
      <c r="AC46" s="246"/>
      <c r="AD46" s="394"/>
      <c r="AE46" s="370"/>
      <c r="AF46" s="21"/>
      <c r="AG46" s="394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</row>
    <row r="47">
      <c r="A47" s="427">
        <f>IFERROR(__xludf.DUMMYFUNCTION("""COMPUTED_VALUE"""),206.0)</f>
        <v>206</v>
      </c>
      <c r="B47" s="418" t="str">
        <f>IFERROR(__xludf.DUMMYFUNCTION("""COMPUTED_VALUE"""),"Sorvete")</f>
        <v>Sorvete</v>
      </c>
      <c r="C47" s="419" t="str">
        <f>IFERROR(__xludf.DUMMYFUNCTION("IF(ISBLANK($B47),"""",query('Saída'!$K$3:$R$505,""Select R where N = '""&amp;$B47&amp;""' and K = ""&amp;$A47,0))"),"Nubank")</f>
        <v>Nubank</v>
      </c>
      <c r="D47" s="420"/>
      <c r="E47" s="421">
        <f>IFERROR(__xludf.DUMMYFUNCTION("if(isblank($B47),"""",split(rept(0&amp;""-"",month(query('Saída'!$J$3:$R$505,""Select M where N = '""&amp;$B47&amp;""' and K = ""&amp;$A47,0))-1)&amp;rept(query('Saída'!$J$3:$R$505,""Select Q where N = '""&amp;$B47&amp;""' and K = ""&amp;$A47,0)&amp;""-"",query('Saída'!$J$3:$R$505,""Select "&amp;"P where N = '""&amp;$B47&amp;""' and K = ""&amp;$A47,0)),""-""))"),0.0)</f>
        <v>0</v>
      </c>
      <c r="F47" s="423">
        <f>IFERROR(__xludf.DUMMYFUNCTION("""COMPUTED_VALUE"""),0.0)</f>
        <v>0</v>
      </c>
      <c r="G47" s="423">
        <f>IFERROR(__xludf.DUMMYFUNCTION("""COMPUTED_VALUE"""),0.0)</f>
        <v>0</v>
      </c>
      <c r="H47" s="423">
        <f>IFERROR(__xludf.DUMMYFUNCTION("""COMPUTED_VALUE"""),0.0)</f>
        <v>0</v>
      </c>
      <c r="I47" s="423">
        <f>IFERROR(__xludf.DUMMYFUNCTION("""COMPUTED_VALUE"""),0.0)</f>
        <v>0</v>
      </c>
      <c r="J47" s="423">
        <f>IFERROR(__xludf.DUMMYFUNCTION("""COMPUTED_VALUE"""),17.0)</f>
        <v>17</v>
      </c>
      <c r="K47" s="423"/>
      <c r="L47" s="423"/>
      <c r="M47" s="423"/>
      <c r="N47" s="423"/>
      <c r="O47" s="423"/>
      <c r="P47" s="423"/>
      <c r="Q47" s="423"/>
      <c r="R47" s="423"/>
      <c r="S47" s="423"/>
      <c r="T47" s="423"/>
      <c r="U47" s="423"/>
      <c r="V47" s="423"/>
      <c r="W47" s="423"/>
      <c r="X47" s="423"/>
      <c r="Y47" s="423"/>
      <c r="Z47" s="423"/>
      <c r="AA47" s="424"/>
      <c r="AB47" s="21"/>
      <c r="AC47" s="246"/>
      <c r="AD47" s="394"/>
      <c r="AE47" s="370"/>
      <c r="AF47" s="21"/>
      <c r="AG47" s="394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</row>
    <row r="48">
      <c r="A48" s="427">
        <f>IFERROR(__xludf.DUMMYFUNCTION("""COMPUTED_VALUE"""),207.0)</f>
        <v>207</v>
      </c>
      <c r="B48" s="418" t="str">
        <f>IFERROR(__xludf.DUMMYFUNCTION("""COMPUTED_VALUE"""),"Pizza")</f>
        <v>Pizza</v>
      </c>
      <c r="C48" s="419" t="str">
        <f>IFERROR(__xludf.DUMMYFUNCTION("IF(ISBLANK($B48),"""",query('Saída'!$K$3:$R$505,""Select R where N = '""&amp;$B48&amp;""' and K = ""&amp;$A48,0))"),"Credicard")</f>
        <v>Credicard</v>
      </c>
      <c r="D48" s="420"/>
      <c r="E48" s="421">
        <f>IFERROR(__xludf.DUMMYFUNCTION("if(isblank($B48),"""",split(rept(0&amp;""-"",month(query('Saída'!$J$3:$R$505,""Select M where N = '""&amp;$B48&amp;""' and K = ""&amp;$A48,0))-1)&amp;rept(query('Saída'!$J$3:$R$505,""Select Q where N = '""&amp;$B48&amp;""' and K = ""&amp;$A48,0)&amp;""-"",query('Saída'!$J$3:$R$505,""Select "&amp;"P where N = '""&amp;$B48&amp;""' and K = ""&amp;$A48,0)),""-""))"),0.0)</f>
        <v>0</v>
      </c>
      <c r="F48" s="423">
        <f>IFERROR(__xludf.DUMMYFUNCTION("""COMPUTED_VALUE"""),0.0)</f>
        <v>0</v>
      </c>
      <c r="G48" s="423">
        <f>IFERROR(__xludf.DUMMYFUNCTION("""COMPUTED_VALUE"""),0.0)</f>
        <v>0</v>
      </c>
      <c r="H48" s="423">
        <f>IFERROR(__xludf.DUMMYFUNCTION("""COMPUTED_VALUE"""),0.0)</f>
        <v>0</v>
      </c>
      <c r="I48" s="423">
        <f>IFERROR(__xludf.DUMMYFUNCTION("""COMPUTED_VALUE"""),0.0)</f>
        <v>0</v>
      </c>
      <c r="J48" s="423">
        <f>IFERROR(__xludf.DUMMYFUNCTION("""COMPUTED_VALUE"""),47.0)</f>
        <v>47</v>
      </c>
      <c r="K48" s="423"/>
      <c r="L48" s="423"/>
      <c r="M48" s="423"/>
      <c r="N48" s="423"/>
      <c r="O48" s="423"/>
      <c r="P48" s="423"/>
      <c r="Q48" s="423"/>
      <c r="R48" s="423"/>
      <c r="S48" s="423"/>
      <c r="T48" s="423"/>
      <c r="U48" s="423"/>
      <c r="V48" s="423"/>
      <c r="W48" s="423"/>
      <c r="X48" s="423"/>
      <c r="Y48" s="423"/>
      <c r="Z48" s="423"/>
      <c r="AA48" s="424"/>
      <c r="AB48" s="21"/>
      <c r="AC48" s="246"/>
      <c r="AD48" s="394"/>
      <c r="AE48" s="370"/>
      <c r="AF48" s="21"/>
      <c r="AG48" s="394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</row>
    <row r="49">
      <c r="A49" s="427">
        <f>IFERROR(__xludf.DUMMYFUNCTION("""COMPUTED_VALUE"""),208.0)</f>
        <v>208</v>
      </c>
      <c r="B49" s="418" t="str">
        <f>IFERROR(__xludf.DUMMYFUNCTION("""COMPUTED_VALUE"""),"Goodala")</f>
        <v>Goodala</v>
      </c>
      <c r="C49" s="419" t="str">
        <f>IFERROR(__xludf.DUMMYFUNCTION("IF(ISBLANK($B49),"""",query('Saída'!$K$3:$R$505,""Select R where N = '""&amp;$B49&amp;""' and K = ""&amp;$A49,0))"),"Credicard")</f>
        <v>Credicard</v>
      </c>
      <c r="D49" s="420"/>
      <c r="E49" s="421">
        <f>IFERROR(__xludf.DUMMYFUNCTION("if(isblank($B49),"""",split(rept(0&amp;""-"",month(query('Saída'!$J$3:$R$505,""Select M where N = '""&amp;$B49&amp;""' and K = ""&amp;$A49,0))-1)&amp;rept(query('Saída'!$J$3:$R$505,""Select Q where N = '""&amp;$B49&amp;""' and K = ""&amp;$A49,0)&amp;""-"",query('Saída'!$J$3:$R$505,""Select "&amp;"P where N = '""&amp;$B49&amp;""' and K = ""&amp;$A49,0)),""-""))"),0.0)</f>
        <v>0</v>
      </c>
      <c r="F49" s="423">
        <f>IFERROR(__xludf.DUMMYFUNCTION("""COMPUTED_VALUE"""),0.0)</f>
        <v>0</v>
      </c>
      <c r="G49" s="423">
        <f>IFERROR(__xludf.DUMMYFUNCTION("""COMPUTED_VALUE"""),0.0)</f>
        <v>0</v>
      </c>
      <c r="H49" s="423">
        <f>IFERROR(__xludf.DUMMYFUNCTION("""COMPUTED_VALUE"""),0.0)</f>
        <v>0</v>
      </c>
      <c r="I49" s="423">
        <f>IFERROR(__xludf.DUMMYFUNCTION("""COMPUTED_VALUE"""),0.0)</f>
        <v>0</v>
      </c>
      <c r="J49" s="423">
        <f>IFERROR(__xludf.DUMMYFUNCTION("""COMPUTED_VALUE"""),48.0)</f>
        <v>48</v>
      </c>
      <c r="K49" s="423"/>
      <c r="L49" s="423"/>
      <c r="M49" s="423"/>
      <c r="N49" s="423"/>
      <c r="O49" s="423"/>
      <c r="P49" s="423"/>
      <c r="Q49" s="423"/>
      <c r="R49" s="423"/>
      <c r="S49" s="423"/>
      <c r="T49" s="423"/>
      <c r="U49" s="423"/>
      <c r="V49" s="423"/>
      <c r="W49" s="423"/>
      <c r="X49" s="423"/>
      <c r="Y49" s="423"/>
      <c r="Z49" s="423"/>
      <c r="AA49" s="424"/>
      <c r="AB49" s="21"/>
      <c r="AC49" s="246"/>
      <c r="AD49" s="394"/>
      <c r="AE49" s="370"/>
      <c r="AF49" s="21"/>
      <c r="AG49" s="394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</row>
    <row r="50">
      <c r="A50" s="427">
        <f>IFERROR(__xludf.DUMMYFUNCTION("""COMPUTED_VALUE"""),209.0)</f>
        <v>209</v>
      </c>
      <c r="B50" s="418" t="str">
        <f>IFERROR(__xludf.DUMMYFUNCTION("""COMPUTED_VALUE"""),"Almoço")</f>
        <v>Almoço</v>
      </c>
      <c r="C50" s="419" t="str">
        <f>IFERROR(__xludf.DUMMYFUNCTION("IF(ISBLANK($B50),"""",query('Saída'!$K$3:$R$505,""Select R where N = '""&amp;$B50&amp;""' and K = ""&amp;$A50,0))"),"Nubank")</f>
        <v>Nubank</v>
      </c>
      <c r="D50" s="420"/>
      <c r="E50" s="421">
        <f>IFERROR(__xludf.DUMMYFUNCTION("if(isblank($B50),"""",split(rept(0&amp;""-"",month(query('Saída'!$J$3:$R$505,""Select M where N = '""&amp;$B50&amp;""' and K = ""&amp;$A50,0))-1)&amp;rept(query('Saída'!$J$3:$R$505,""Select Q where N = '""&amp;$B50&amp;""' and K = ""&amp;$A50,0)&amp;""-"",query('Saída'!$J$3:$R$505,""Select "&amp;"P where N = '""&amp;$B50&amp;""' and K = ""&amp;$A50,0)),""-""))"),0.0)</f>
        <v>0</v>
      </c>
      <c r="F50" s="423">
        <f>IFERROR(__xludf.DUMMYFUNCTION("""COMPUTED_VALUE"""),0.0)</f>
        <v>0</v>
      </c>
      <c r="G50" s="423">
        <f>IFERROR(__xludf.DUMMYFUNCTION("""COMPUTED_VALUE"""),0.0)</f>
        <v>0</v>
      </c>
      <c r="H50" s="423">
        <f>IFERROR(__xludf.DUMMYFUNCTION("""COMPUTED_VALUE"""),0.0)</f>
        <v>0</v>
      </c>
      <c r="I50" s="423">
        <f>IFERROR(__xludf.DUMMYFUNCTION("""COMPUTED_VALUE"""),0.0)</f>
        <v>0</v>
      </c>
      <c r="J50" s="423">
        <f>IFERROR(__xludf.DUMMYFUNCTION("""COMPUTED_VALUE"""),0.0)</f>
        <v>0</v>
      </c>
      <c r="K50" s="423">
        <f>IFERROR(__xludf.DUMMYFUNCTION("""COMPUTED_VALUE"""),10.0)</f>
        <v>10</v>
      </c>
      <c r="L50" s="423"/>
      <c r="M50" s="423"/>
      <c r="N50" s="423"/>
      <c r="O50" s="423"/>
      <c r="P50" s="423"/>
      <c r="Q50" s="423"/>
      <c r="R50" s="423"/>
      <c r="S50" s="423"/>
      <c r="T50" s="423"/>
      <c r="U50" s="423"/>
      <c r="V50" s="423"/>
      <c r="W50" s="423"/>
      <c r="X50" s="423"/>
      <c r="Y50" s="423"/>
      <c r="Z50" s="423"/>
      <c r="AA50" s="424"/>
      <c r="AB50" s="21"/>
      <c r="AC50" s="246"/>
      <c r="AD50" s="394"/>
      <c r="AE50" s="370"/>
      <c r="AF50" s="21"/>
      <c r="AG50" s="394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</row>
    <row r="51">
      <c r="A51" s="427">
        <f>IFERROR(__xludf.DUMMYFUNCTION("""COMPUTED_VALUE"""),247.0)</f>
        <v>247</v>
      </c>
      <c r="B51" s="418" t="str">
        <f>IFERROR(__xludf.DUMMYFUNCTION("""COMPUTED_VALUE"""),"Almoço")</f>
        <v>Almoço</v>
      </c>
      <c r="C51" s="419" t="str">
        <f>IFERROR(__xludf.DUMMYFUNCTION("IF(ISBLANK($B51),"""",query('Saída'!$K$3:$R$505,""Select R where N = '""&amp;$B51&amp;""' and K = ""&amp;$A51,0))"),"Nubank")</f>
        <v>Nubank</v>
      </c>
      <c r="D51" s="420"/>
      <c r="E51" s="421">
        <f>IFERROR(__xludf.DUMMYFUNCTION("if(isblank($B51),"""",split(rept(0&amp;""-"",month(query('Saída'!$J$3:$R$505,""Select M where N = '""&amp;$B51&amp;""' and K = ""&amp;$A51,0))-1)&amp;rept(query('Saída'!$J$3:$R$505,""Select Q where N = '""&amp;$B51&amp;""' and K = ""&amp;$A51,0)&amp;""-"",query('Saída'!$J$3:$R$505,""Select "&amp;"P where N = '""&amp;$B51&amp;""' and K = ""&amp;$A51,0)),""-""))"),0.0)</f>
        <v>0</v>
      </c>
      <c r="F51" s="423">
        <f>IFERROR(__xludf.DUMMYFUNCTION("""COMPUTED_VALUE"""),0.0)</f>
        <v>0</v>
      </c>
      <c r="G51" s="423">
        <f>IFERROR(__xludf.DUMMYFUNCTION("""COMPUTED_VALUE"""),0.0)</f>
        <v>0</v>
      </c>
      <c r="H51" s="423">
        <f>IFERROR(__xludf.DUMMYFUNCTION("""COMPUTED_VALUE"""),0.0)</f>
        <v>0</v>
      </c>
      <c r="I51" s="423">
        <f>IFERROR(__xludf.DUMMYFUNCTION("""COMPUTED_VALUE"""),0.0)</f>
        <v>0</v>
      </c>
      <c r="J51" s="423">
        <f>IFERROR(__xludf.DUMMYFUNCTION("""COMPUTED_VALUE"""),0.0)</f>
        <v>0</v>
      </c>
      <c r="K51" s="423">
        <f>IFERROR(__xludf.DUMMYFUNCTION("""COMPUTED_VALUE"""),10.0)</f>
        <v>10</v>
      </c>
      <c r="L51" s="423"/>
      <c r="M51" s="423"/>
      <c r="N51" s="423"/>
      <c r="O51" s="423"/>
      <c r="P51" s="423"/>
      <c r="Q51" s="423"/>
      <c r="R51" s="423"/>
      <c r="S51" s="423"/>
      <c r="T51" s="423"/>
      <c r="U51" s="423"/>
      <c r="V51" s="423"/>
      <c r="W51" s="423"/>
      <c r="X51" s="423"/>
      <c r="Y51" s="423"/>
      <c r="Z51" s="423"/>
      <c r="AA51" s="424"/>
      <c r="AB51" s="21"/>
      <c r="AC51" s="246"/>
      <c r="AD51" s="394"/>
      <c r="AE51" s="370"/>
      <c r="AF51" s="21"/>
      <c r="AG51" s="394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</row>
    <row r="52">
      <c r="A52" s="427">
        <f>IFERROR(__xludf.DUMMYFUNCTION("""COMPUTED_VALUE"""),288.0)</f>
        <v>288</v>
      </c>
      <c r="B52" s="418" t="str">
        <f>IFERROR(__xludf.DUMMYFUNCTION("""COMPUTED_VALUE"""),"Aliexpress")</f>
        <v>Aliexpress</v>
      </c>
      <c r="C52" s="419" t="str">
        <f>IFERROR(__xludf.DUMMYFUNCTION("IF(ISBLANK($B52),"""",query('Saída'!$K$3:$R$505,""Select R where N = '""&amp;$B52&amp;""' and K = ""&amp;$A52,0))"),"Nubank")</f>
        <v>Nubank</v>
      </c>
      <c r="D52" s="420"/>
      <c r="E52" s="421">
        <f>IFERROR(__xludf.DUMMYFUNCTION("if(isblank($B52),"""",split(rept(0&amp;""-"",month(query('Saída'!$J$3:$R$505,""Select M where N = '""&amp;$B52&amp;""' and K = ""&amp;$A52,0))-1)&amp;rept(query('Saída'!$J$3:$R$505,""Select Q where N = '""&amp;$B52&amp;""' and K = ""&amp;$A52,0)&amp;""-"",query('Saída'!$J$3:$R$505,""Select "&amp;"P where N = '""&amp;$B52&amp;""' and K = ""&amp;$A52,0)),""-""))"),0.0)</f>
        <v>0</v>
      </c>
      <c r="F52" s="423">
        <f>IFERROR(__xludf.DUMMYFUNCTION("""COMPUTED_VALUE"""),0.0)</f>
        <v>0</v>
      </c>
      <c r="G52" s="423">
        <f>IFERROR(__xludf.DUMMYFUNCTION("""COMPUTED_VALUE"""),0.0)</f>
        <v>0</v>
      </c>
      <c r="H52" s="423">
        <f>IFERROR(__xludf.DUMMYFUNCTION("""COMPUTED_VALUE"""),0.0)</f>
        <v>0</v>
      </c>
      <c r="I52" s="423">
        <f>IFERROR(__xludf.DUMMYFUNCTION("""COMPUTED_VALUE"""),0.0)</f>
        <v>0</v>
      </c>
      <c r="J52" s="423">
        <f>IFERROR(__xludf.DUMMYFUNCTION("""COMPUTED_VALUE"""),0.0)</f>
        <v>0</v>
      </c>
      <c r="K52" s="423">
        <f>IFERROR(__xludf.DUMMYFUNCTION("""COMPUTED_VALUE"""),0.0)</f>
        <v>0</v>
      </c>
      <c r="L52" s="423">
        <f>IFERROR(__xludf.DUMMYFUNCTION("""COMPUTED_VALUE"""),122.21)</f>
        <v>122.21</v>
      </c>
      <c r="M52" s="423"/>
      <c r="N52" s="423"/>
      <c r="O52" s="423"/>
      <c r="P52" s="423"/>
      <c r="Q52" s="423"/>
      <c r="R52" s="423"/>
      <c r="S52" s="423"/>
      <c r="T52" s="423"/>
      <c r="U52" s="423"/>
      <c r="V52" s="423"/>
      <c r="W52" s="423"/>
      <c r="X52" s="423"/>
      <c r="Y52" s="423"/>
      <c r="Z52" s="423"/>
      <c r="AA52" s="424"/>
      <c r="AB52" s="21"/>
      <c r="AC52" s="246"/>
      <c r="AD52" s="394"/>
      <c r="AE52" s="370"/>
      <c r="AF52" s="21"/>
      <c r="AG52" s="394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</row>
    <row r="53">
      <c r="A53" s="427">
        <f>IFERROR(__xludf.DUMMYFUNCTION("""COMPUTED_VALUE"""),289.0)</f>
        <v>289</v>
      </c>
      <c r="B53" s="418" t="str">
        <f>IFERROR(__xludf.DUMMYFUNCTION("""COMPUTED_VALUE"""),"Carrefour")</f>
        <v>Carrefour</v>
      </c>
      <c r="C53" s="419" t="str">
        <f>IFERROR(__xludf.DUMMYFUNCTION("IF(ISBLANK($B53),"""",query('Saída'!$K$3:$R$505,""Select R where N = '""&amp;$B53&amp;""' and K = ""&amp;$A53,0))"),"Carrefour")</f>
        <v>Carrefour</v>
      </c>
      <c r="D53" s="420"/>
      <c r="E53" s="421">
        <f>IFERROR(__xludf.DUMMYFUNCTION("if(isblank($B53),"""",split(rept(0&amp;""-"",month(query('Saída'!$J$3:$R$505,""Select M where N = '""&amp;$B53&amp;""' and K = ""&amp;$A53,0))-1)&amp;rept(query('Saída'!$J$3:$R$505,""Select Q where N = '""&amp;$B53&amp;""' and K = ""&amp;$A53,0)&amp;""-"",query('Saída'!$J$3:$R$505,""Select "&amp;"P where N = '""&amp;$B53&amp;""' and K = ""&amp;$A53,0)),""-""))"),0.0)</f>
        <v>0</v>
      </c>
      <c r="F53" s="423">
        <f>IFERROR(__xludf.DUMMYFUNCTION("""COMPUTED_VALUE"""),0.0)</f>
        <v>0</v>
      </c>
      <c r="G53" s="423">
        <f>IFERROR(__xludf.DUMMYFUNCTION("""COMPUTED_VALUE"""),0.0)</f>
        <v>0</v>
      </c>
      <c r="H53" s="423">
        <f>IFERROR(__xludf.DUMMYFUNCTION("""COMPUTED_VALUE"""),0.0)</f>
        <v>0</v>
      </c>
      <c r="I53" s="423">
        <f>IFERROR(__xludf.DUMMYFUNCTION("""COMPUTED_VALUE"""),0.0)</f>
        <v>0</v>
      </c>
      <c r="J53" s="423">
        <f>IFERROR(__xludf.DUMMYFUNCTION("""COMPUTED_VALUE"""),0.0)</f>
        <v>0</v>
      </c>
      <c r="K53" s="423">
        <f>IFERROR(__xludf.DUMMYFUNCTION("""COMPUTED_VALUE"""),0.0)</f>
        <v>0</v>
      </c>
      <c r="L53" s="423">
        <f>IFERROR(__xludf.DUMMYFUNCTION("""COMPUTED_VALUE"""),14.58)</f>
        <v>14.58</v>
      </c>
      <c r="M53" s="423"/>
      <c r="N53" s="423"/>
      <c r="O53" s="423"/>
      <c r="P53" s="423"/>
      <c r="Q53" s="423"/>
      <c r="R53" s="423"/>
      <c r="S53" s="423"/>
      <c r="T53" s="423"/>
      <c r="U53" s="423"/>
      <c r="V53" s="423"/>
      <c r="W53" s="423"/>
      <c r="X53" s="423"/>
      <c r="Y53" s="423"/>
      <c r="Z53" s="423"/>
      <c r="AA53" s="424"/>
      <c r="AB53" s="21"/>
      <c r="AC53" s="246"/>
      <c r="AD53" s="394"/>
      <c r="AE53" s="370"/>
      <c r="AF53" s="21"/>
      <c r="AG53" s="394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</row>
    <row r="54">
      <c r="A54" s="427">
        <f>IFERROR(__xludf.DUMMYFUNCTION("""COMPUTED_VALUE"""),290.0)</f>
        <v>290</v>
      </c>
      <c r="B54" s="418" t="str">
        <f>IFERROR(__xludf.DUMMYFUNCTION("""COMPUTED_VALUE"""),"Carrefour")</f>
        <v>Carrefour</v>
      </c>
      <c r="C54" s="419" t="str">
        <f>IFERROR(__xludf.DUMMYFUNCTION("IF(ISBLANK($B54),"""",query('Saída'!$K$3:$R$505,""Select R where N = '""&amp;$B54&amp;""' and K = ""&amp;$A54,0))"),"Carrefour")</f>
        <v>Carrefour</v>
      </c>
      <c r="D54" s="420"/>
      <c r="E54" s="421">
        <f>IFERROR(__xludf.DUMMYFUNCTION("if(isblank($B54),"""",split(rept(0&amp;""-"",month(query('Saída'!$J$3:$R$505,""Select M where N = '""&amp;$B54&amp;""' and K = ""&amp;$A54,0))-1)&amp;rept(query('Saída'!$J$3:$R$505,""Select Q where N = '""&amp;$B54&amp;""' and K = ""&amp;$A54,0)&amp;""-"",query('Saída'!$J$3:$R$505,""Select "&amp;"P where N = '""&amp;$B54&amp;""' and K = ""&amp;$A54,0)),""-""))"),0.0)</f>
        <v>0</v>
      </c>
      <c r="F54" s="423">
        <f>IFERROR(__xludf.DUMMYFUNCTION("""COMPUTED_VALUE"""),0.0)</f>
        <v>0</v>
      </c>
      <c r="G54" s="423">
        <f>IFERROR(__xludf.DUMMYFUNCTION("""COMPUTED_VALUE"""),0.0)</f>
        <v>0</v>
      </c>
      <c r="H54" s="423">
        <f>IFERROR(__xludf.DUMMYFUNCTION("""COMPUTED_VALUE"""),0.0)</f>
        <v>0</v>
      </c>
      <c r="I54" s="423">
        <f>IFERROR(__xludf.DUMMYFUNCTION("""COMPUTED_VALUE"""),0.0)</f>
        <v>0</v>
      </c>
      <c r="J54" s="423">
        <f>IFERROR(__xludf.DUMMYFUNCTION("""COMPUTED_VALUE"""),0.0)</f>
        <v>0</v>
      </c>
      <c r="K54" s="423">
        <f>IFERROR(__xludf.DUMMYFUNCTION("""COMPUTED_VALUE"""),0.0)</f>
        <v>0</v>
      </c>
      <c r="L54" s="423">
        <f>IFERROR(__xludf.DUMMYFUNCTION("""COMPUTED_VALUE"""),31.53)</f>
        <v>31.53</v>
      </c>
      <c r="M54" s="423"/>
      <c r="N54" s="423"/>
      <c r="O54" s="423"/>
      <c r="P54" s="423"/>
      <c r="Q54" s="423"/>
      <c r="R54" s="423"/>
      <c r="S54" s="423"/>
      <c r="T54" s="423"/>
      <c r="U54" s="423"/>
      <c r="V54" s="423"/>
      <c r="W54" s="423"/>
      <c r="X54" s="423"/>
      <c r="Y54" s="423"/>
      <c r="Z54" s="423"/>
      <c r="AA54" s="424"/>
      <c r="AB54" s="21"/>
      <c r="AC54" s="246"/>
      <c r="AD54" s="394"/>
      <c r="AE54" s="370"/>
      <c r="AF54" s="21"/>
      <c r="AG54" s="394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</row>
    <row r="55">
      <c r="A55" s="427">
        <f>IFERROR(__xludf.DUMMYFUNCTION("""COMPUTED_VALUE"""),291.0)</f>
        <v>291</v>
      </c>
      <c r="B55" s="418" t="str">
        <f>IFERROR(__xludf.DUMMYFUNCTION("""COMPUTED_VALUE"""),"Moany")</f>
        <v>Moany</v>
      </c>
      <c r="C55" s="419" t="str">
        <f>IFERROR(__xludf.DUMMYFUNCTION("IF(ISBLANK($B55),"""",query('Saída'!$K$3:$R$505,""Select R where N = '""&amp;$B55&amp;""' and K = ""&amp;$A55,0))"),"Nubank")</f>
        <v>Nubank</v>
      </c>
      <c r="D55" s="420"/>
      <c r="E55" s="421">
        <f>IFERROR(__xludf.DUMMYFUNCTION("if(isblank($B55),"""",split(rept(0&amp;""-"",month(query('Saída'!$J$3:$R$505,""Select M where N = '""&amp;$B55&amp;""' and K = ""&amp;$A55,0))-1)&amp;rept(query('Saída'!$J$3:$R$505,""Select Q where N = '""&amp;$B55&amp;""' and K = ""&amp;$A55,0)&amp;""-"",query('Saída'!$J$3:$R$505,""Select "&amp;"P where N = '""&amp;$B55&amp;""' and K = ""&amp;$A55,0)),""-""))"),0.0)</f>
        <v>0</v>
      </c>
      <c r="F55" s="423">
        <f>IFERROR(__xludf.DUMMYFUNCTION("""COMPUTED_VALUE"""),0.0)</f>
        <v>0</v>
      </c>
      <c r="G55" s="423">
        <f>IFERROR(__xludf.DUMMYFUNCTION("""COMPUTED_VALUE"""),0.0)</f>
        <v>0</v>
      </c>
      <c r="H55" s="423">
        <f>IFERROR(__xludf.DUMMYFUNCTION("""COMPUTED_VALUE"""),0.0)</f>
        <v>0</v>
      </c>
      <c r="I55" s="423">
        <f>IFERROR(__xludf.DUMMYFUNCTION("""COMPUTED_VALUE"""),0.0)</f>
        <v>0</v>
      </c>
      <c r="J55" s="423">
        <f>IFERROR(__xludf.DUMMYFUNCTION("""COMPUTED_VALUE"""),0.0)</f>
        <v>0</v>
      </c>
      <c r="K55" s="423">
        <f>IFERROR(__xludf.DUMMYFUNCTION("""COMPUTED_VALUE"""),0.0)</f>
        <v>0</v>
      </c>
      <c r="L55" s="423">
        <f>IFERROR(__xludf.DUMMYFUNCTION("""COMPUTED_VALUE"""),20.0)</f>
        <v>20</v>
      </c>
      <c r="M55" s="423"/>
      <c r="N55" s="423"/>
      <c r="O55" s="423"/>
      <c r="P55" s="423"/>
      <c r="Q55" s="423"/>
      <c r="R55" s="423"/>
      <c r="S55" s="423"/>
      <c r="T55" s="423"/>
      <c r="U55" s="423"/>
      <c r="V55" s="423"/>
      <c r="W55" s="423"/>
      <c r="X55" s="423"/>
      <c r="Y55" s="423"/>
      <c r="Z55" s="423"/>
      <c r="AA55" s="424"/>
      <c r="AB55" s="21"/>
      <c r="AC55" s="246"/>
      <c r="AD55" s="394"/>
      <c r="AE55" s="370"/>
      <c r="AF55" s="21"/>
      <c r="AG55" s="394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</row>
    <row r="56">
      <c r="A56" s="427">
        <f>IFERROR(__xludf.DUMMYFUNCTION("""COMPUTED_VALUE"""),292.0)</f>
        <v>292</v>
      </c>
      <c r="B56" s="418" t="str">
        <f>IFERROR(__xludf.DUMMYFUNCTION("""COMPUTED_VALUE"""),"Gasolina")</f>
        <v>Gasolina</v>
      </c>
      <c r="C56" s="419" t="str">
        <f>IFERROR(__xludf.DUMMYFUNCTION("IF(ISBLANK($B56),"""",query('Saída'!$K$3:$R$505,""Select R where N = '""&amp;$B56&amp;""' and K = ""&amp;$A56,0))"),"Credicard")</f>
        <v>Credicard</v>
      </c>
      <c r="D56" s="420"/>
      <c r="E56" s="421">
        <f>IFERROR(__xludf.DUMMYFUNCTION("if(isblank($B56),"""",split(rept(0&amp;""-"",month(query('Saída'!$J$3:$R$505,""Select M where N = '""&amp;$B56&amp;""' and K = ""&amp;$A56,0))-1)&amp;rept(query('Saída'!$J$3:$R$505,""Select Q where N = '""&amp;$B56&amp;""' and K = ""&amp;$A56,0)&amp;""-"",query('Saída'!$J$3:$R$505,""Select "&amp;"P where N = '""&amp;$B56&amp;""' and K = ""&amp;$A56,0)),""-""))"),0.0)</f>
        <v>0</v>
      </c>
      <c r="F56" s="423">
        <f>IFERROR(__xludf.DUMMYFUNCTION("""COMPUTED_VALUE"""),0.0)</f>
        <v>0</v>
      </c>
      <c r="G56" s="423">
        <f>IFERROR(__xludf.DUMMYFUNCTION("""COMPUTED_VALUE"""),0.0)</f>
        <v>0</v>
      </c>
      <c r="H56" s="423">
        <f>IFERROR(__xludf.DUMMYFUNCTION("""COMPUTED_VALUE"""),0.0)</f>
        <v>0</v>
      </c>
      <c r="I56" s="423">
        <f>IFERROR(__xludf.DUMMYFUNCTION("""COMPUTED_VALUE"""),0.0)</f>
        <v>0</v>
      </c>
      <c r="J56" s="423">
        <f>IFERROR(__xludf.DUMMYFUNCTION("""COMPUTED_VALUE"""),0.0)</f>
        <v>0</v>
      </c>
      <c r="K56" s="423">
        <f>IFERROR(__xludf.DUMMYFUNCTION("""COMPUTED_VALUE"""),0.0)</f>
        <v>0</v>
      </c>
      <c r="L56" s="423">
        <f>IFERROR(__xludf.DUMMYFUNCTION("""COMPUTED_VALUE"""),100.0)</f>
        <v>100</v>
      </c>
      <c r="M56" s="423"/>
      <c r="N56" s="423"/>
      <c r="O56" s="423"/>
      <c r="P56" s="423"/>
      <c r="Q56" s="423"/>
      <c r="R56" s="423"/>
      <c r="S56" s="423"/>
      <c r="T56" s="423"/>
      <c r="U56" s="423"/>
      <c r="V56" s="423"/>
      <c r="W56" s="423"/>
      <c r="X56" s="423"/>
      <c r="Y56" s="423"/>
      <c r="Z56" s="423"/>
      <c r="AA56" s="424"/>
      <c r="AB56" s="21"/>
      <c r="AC56" s="246"/>
      <c r="AD56" s="394"/>
      <c r="AE56" s="370"/>
      <c r="AF56" s="21"/>
      <c r="AG56" s="394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</row>
    <row r="57">
      <c r="A57" s="427">
        <f>IFERROR(__xludf.DUMMYFUNCTION("""COMPUTED_VALUE"""),293.0)</f>
        <v>293</v>
      </c>
      <c r="B57" s="418" t="str">
        <f>IFERROR(__xludf.DUMMYFUNCTION("""COMPUTED_VALUE"""),"Lucena")</f>
        <v>Lucena</v>
      </c>
      <c r="C57" s="419" t="str">
        <f>IFERROR(__xludf.DUMMYFUNCTION("IF(ISBLANK($B57),"""",query('Saída'!$K$3:$R$505,""Select R where N = '""&amp;$B57&amp;""' and K = ""&amp;$A57,0))"),"Credicard")</f>
        <v>Credicard</v>
      </c>
      <c r="D57" s="420"/>
      <c r="E57" s="421">
        <f>IFERROR(__xludf.DUMMYFUNCTION("if(isblank($B57),"""",split(rept(0&amp;""-"",month(query('Saída'!$J$3:$R$505,""Select M where N = '""&amp;$B57&amp;""' and K = ""&amp;$A57,0))-1)&amp;rept(query('Saída'!$J$3:$R$505,""Select Q where N = '""&amp;$B57&amp;""' and K = ""&amp;$A57,0)&amp;""-"",query('Saída'!$J$3:$R$505,""Select "&amp;"P where N = '""&amp;$B57&amp;""' and K = ""&amp;$A57,0)),""-""))"),0.0)</f>
        <v>0</v>
      </c>
      <c r="F57" s="423">
        <f>IFERROR(__xludf.DUMMYFUNCTION("""COMPUTED_VALUE"""),0.0)</f>
        <v>0</v>
      </c>
      <c r="G57" s="423">
        <f>IFERROR(__xludf.DUMMYFUNCTION("""COMPUTED_VALUE"""),0.0)</f>
        <v>0</v>
      </c>
      <c r="H57" s="423">
        <f>IFERROR(__xludf.DUMMYFUNCTION("""COMPUTED_VALUE"""),0.0)</f>
        <v>0</v>
      </c>
      <c r="I57" s="423">
        <f>IFERROR(__xludf.DUMMYFUNCTION("""COMPUTED_VALUE"""),0.0)</f>
        <v>0</v>
      </c>
      <c r="J57" s="423">
        <f>IFERROR(__xludf.DUMMYFUNCTION("""COMPUTED_VALUE"""),0.0)</f>
        <v>0</v>
      </c>
      <c r="K57" s="423">
        <f>IFERROR(__xludf.DUMMYFUNCTION("""COMPUTED_VALUE"""),0.0)</f>
        <v>0</v>
      </c>
      <c r="L57" s="423">
        <f>IFERROR(__xludf.DUMMYFUNCTION("""COMPUTED_VALUE"""),164.14)</f>
        <v>164.14</v>
      </c>
      <c r="M57" s="423"/>
      <c r="N57" s="423"/>
      <c r="O57" s="423"/>
      <c r="P57" s="423"/>
      <c r="Q57" s="423"/>
      <c r="R57" s="423"/>
      <c r="S57" s="423"/>
      <c r="T57" s="423"/>
      <c r="U57" s="423"/>
      <c r="V57" s="423"/>
      <c r="W57" s="423"/>
      <c r="X57" s="423"/>
      <c r="Y57" s="423"/>
      <c r="Z57" s="423"/>
      <c r="AA57" s="424"/>
      <c r="AB57" s="21"/>
      <c r="AC57" s="246"/>
      <c r="AD57" s="394"/>
      <c r="AE57" s="370"/>
      <c r="AF57" s="21"/>
      <c r="AG57" s="394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</row>
    <row r="58">
      <c r="A58" s="427">
        <f>IFERROR(__xludf.DUMMYFUNCTION("""COMPUTED_VALUE"""),294.0)</f>
        <v>294</v>
      </c>
      <c r="B58" s="418" t="str">
        <f>IFERROR(__xludf.DUMMYFUNCTION("""COMPUTED_VALUE"""),"Mineirão")</f>
        <v>Mineirão</v>
      </c>
      <c r="C58" s="419" t="str">
        <f>IFERROR(__xludf.DUMMYFUNCTION("IF(ISBLANK($B58),"""",query('Saída'!$K$3:$R$505,""Select R where N = '""&amp;$B58&amp;""' and K = ""&amp;$A58,0))"),"Credicard")</f>
        <v>Credicard</v>
      </c>
      <c r="D58" s="420"/>
      <c r="E58" s="421">
        <f>IFERROR(__xludf.DUMMYFUNCTION("if(isblank($B58),"""",split(rept(0&amp;""-"",month(query('Saída'!$J$3:$R$505,""Select M where N = '""&amp;$B58&amp;""' and K = ""&amp;$A58,0))-1)&amp;rept(query('Saída'!$J$3:$R$505,""Select Q where N = '""&amp;$B58&amp;""' and K = ""&amp;$A58,0)&amp;""-"",query('Saída'!$J$3:$R$505,""Select "&amp;"P where N = '""&amp;$B58&amp;""' and K = ""&amp;$A58,0)),""-""))"),0.0)</f>
        <v>0</v>
      </c>
      <c r="F58" s="423">
        <f>IFERROR(__xludf.DUMMYFUNCTION("""COMPUTED_VALUE"""),0.0)</f>
        <v>0</v>
      </c>
      <c r="G58" s="423">
        <f>IFERROR(__xludf.DUMMYFUNCTION("""COMPUTED_VALUE"""),0.0)</f>
        <v>0</v>
      </c>
      <c r="H58" s="423">
        <f>IFERROR(__xludf.DUMMYFUNCTION("""COMPUTED_VALUE"""),0.0)</f>
        <v>0</v>
      </c>
      <c r="I58" s="423">
        <f>IFERROR(__xludf.DUMMYFUNCTION("""COMPUTED_VALUE"""),0.0)</f>
        <v>0</v>
      </c>
      <c r="J58" s="423">
        <f>IFERROR(__xludf.DUMMYFUNCTION("""COMPUTED_VALUE"""),0.0)</f>
        <v>0</v>
      </c>
      <c r="K58" s="423">
        <f>IFERROR(__xludf.DUMMYFUNCTION("""COMPUTED_VALUE"""),0.0)</f>
        <v>0</v>
      </c>
      <c r="L58" s="423">
        <f>IFERROR(__xludf.DUMMYFUNCTION("""COMPUTED_VALUE"""),96.09)</f>
        <v>96.09</v>
      </c>
      <c r="M58" s="423"/>
      <c r="N58" s="423"/>
      <c r="O58" s="423"/>
      <c r="P58" s="423"/>
      <c r="Q58" s="423"/>
      <c r="R58" s="423"/>
      <c r="S58" s="423"/>
      <c r="T58" s="423"/>
      <c r="U58" s="423"/>
      <c r="V58" s="423"/>
      <c r="W58" s="423"/>
      <c r="X58" s="423"/>
      <c r="Y58" s="423"/>
      <c r="Z58" s="423"/>
      <c r="AA58" s="424"/>
      <c r="AB58" s="21"/>
      <c r="AC58" s="246"/>
      <c r="AD58" s="394"/>
      <c r="AE58" s="370"/>
      <c r="AF58" s="21"/>
      <c r="AG58" s="394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</row>
    <row r="59">
      <c r="A59" s="427">
        <f>IFERROR(__xludf.DUMMYFUNCTION("""COMPUTED_VALUE"""),295.0)</f>
        <v>295</v>
      </c>
      <c r="B59" s="418" t="str">
        <f>IFERROR(__xludf.DUMMYFUNCTION("""COMPUTED_VALUE"""),"Carrefour")</f>
        <v>Carrefour</v>
      </c>
      <c r="C59" s="419" t="str">
        <f>IFERROR(__xludf.DUMMYFUNCTION("IF(ISBLANK($B59),"""",query('Saída'!$K$3:$R$505,""Select R where N = '""&amp;$B59&amp;""' and K = ""&amp;$A59,0))"),"Carrefour")</f>
        <v>Carrefour</v>
      </c>
      <c r="D59" s="420"/>
      <c r="E59" s="421">
        <f>IFERROR(__xludf.DUMMYFUNCTION("if(isblank($B59),"""",split(rept(0&amp;""-"",month(query('Saída'!$J$3:$R$505,""Select M where N = '""&amp;$B59&amp;""' and K = ""&amp;$A59,0))-1)&amp;rept(query('Saída'!$J$3:$R$505,""Select Q where N = '""&amp;$B59&amp;""' and K = ""&amp;$A59,0)&amp;""-"",query('Saída'!$J$3:$R$505,""Select "&amp;"P where N = '""&amp;$B59&amp;""' and K = ""&amp;$A59,0)),""-""))"),0.0)</f>
        <v>0</v>
      </c>
      <c r="F59" s="423">
        <f>IFERROR(__xludf.DUMMYFUNCTION("""COMPUTED_VALUE"""),0.0)</f>
        <v>0</v>
      </c>
      <c r="G59" s="423">
        <f>IFERROR(__xludf.DUMMYFUNCTION("""COMPUTED_VALUE"""),0.0)</f>
        <v>0</v>
      </c>
      <c r="H59" s="423">
        <f>IFERROR(__xludf.DUMMYFUNCTION("""COMPUTED_VALUE"""),0.0)</f>
        <v>0</v>
      </c>
      <c r="I59" s="423">
        <f>IFERROR(__xludf.DUMMYFUNCTION("""COMPUTED_VALUE"""),0.0)</f>
        <v>0</v>
      </c>
      <c r="J59" s="423">
        <f>IFERROR(__xludf.DUMMYFUNCTION("""COMPUTED_VALUE"""),0.0)</f>
        <v>0</v>
      </c>
      <c r="K59" s="423">
        <f>IFERROR(__xludf.DUMMYFUNCTION("""COMPUTED_VALUE"""),0.0)</f>
        <v>0</v>
      </c>
      <c r="L59" s="423">
        <f>IFERROR(__xludf.DUMMYFUNCTION("""COMPUTED_VALUE"""),30.88)</f>
        <v>30.88</v>
      </c>
      <c r="M59" s="423"/>
      <c r="N59" s="423"/>
      <c r="O59" s="423"/>
      <c r="P59" s="423"/>
      <c r="Q59" s="423"/>
      <c r="R59" s="423"/>
      <c r="S59" s="423"/>
      <c r="T59" s="423"/>
      <c r="U59" s="423"/>
      <c r="V59" s="423"/>
      <c r="W59" s="423"/>
      <c r="X59" s="423"/>
      <c r="Y59" s="423"/>
      <c r="Z59" s="423"/>
      <c r="AA59" s="424"/>
      <c r="AB59" s="21"/>
      <c r="AC59" s="429"/>
      <c r="AD59" s="430"/>
      <c r="AE59" s="370"/>
      <c r="AF59" s="21"/>
      <c r="AG59" s="430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</row>
    <row r="60">
      <c r="A60" s="427">
        <f>IFERROR(__xludf.DUMMYFUNCTION("""COMPUTED_VALUE"""),296.0)</f>
        <v>296</v>
      </c>
      <c r="B60" s="418" t="str">
        <f>IFERROR(__xludf.DUMMYFUNCTION("""COMPUTED_VALUE"""),"Carrefour")</f>
        <v>Carrefour</v>
      </c>
      <c r="C60" s="419" t="str">
        <f>IFERROR(__xludf.DUMMYFUNCTION("IF(ISBLANK($B60),"""",query('Saída'!$K$3:$R$505,""Select R where N = '""&amp;$B60&amp;""' and K = ""&amp;$A60,0))"),"Carrefour")</f>
        <v>Carrefour</v>
      </c>
      <c r="D60" s="420"/>
      <c r="E60" s="421">
        <f>IFERROR(__xludf.DUMMYFUNCTION("if(isblank($B60),"""",split(rept(0&amp;""-"",month(query('Saída'!$J$3:$R$505,""Select M where N = '""&amp;$B60&amp;""' and K = ""&amp;$A60,0))-1)&amp;rept(query('Saída'!$J$3:$R$505,""Select Q where N = '""&amp;$B60&amp;""' and K = ""&amp;$A60,0)&amp;""-"",query('Saída'!$J$3:$R$505,""Select "&amp;"P where N = '""&amp;$B60&amp;""' and K = ""&amp;$A60,0)),""-""))"),0.0)</f>
        <v>0</v>
      </c>
      <c r="F60" s="423">
        <f>IFERROR(__xludf.DUMMYFUNCTION("""COMPUTED_VALUE"""),0.0)</f>
        <v>0</v>
      </c>
      <c r="G60" s="423">
        <f>IFERROR(__xludf.DUMMYFUNCTION("""COMPUTED_VALUE"""),0.0)</f>
        <v>0</v>
      </c>
      <c r="H60" s="423">
        <f>IFERROR(__xludf.DUMMYFUNCTION("""COMPUTED_VALUE"""),0.0)</f>
        <v>0</v>
      </c>
      <c r="I60" s="423">
        <f>IFERROR(__xludf.DUMMYFUNCTION("""COMPUTED_VALUE"""),0.0)</f>
        <v>0</v>
      </c>
      <c r="J60" s="423">
        <f>IFERROR(__xludf.DUMMYFUNCTION("""COMPUTED_VALUE"""),0.0)</f>
        <v>0</v>
      </c>
      <c r="K60" s="423">
        <f>IFERROR(__xludf.DUMMYFUNCTION("""COMPUTED_VALUE"""),0.0)</f>
        <v>0</v>
      </c>
      <c r="L60" s="423">
        <f>IFERROR(__xludf.DUMMYFUNCTION("""COMPUTED_VALUE"""),14.48)</f>
        <v>14.48</v>
      </c>
      <c r="M60" s="423"/>
      <c r="N60" s="423"/>
      <c r="O60" s="423"/>
      <c r="P60" s="423"/>
      <c r="Q60" s="423"/>
      <c r="R60" s="423"/>
      <c r="S60" s="423"/>
      <c r="T60" s="423"/>
      <c r="U60" s="423"/>
      <c r="V60" s="423"/>
      <c r="W60" s="423"/>
      <c r="X60" s="423"/>
      <c r="Y60" s="423"/>
      <c r="Z60" s="423"/>
      <c r="AA60" s="424"/>
      <c r="AB60" s="21"/>
      <c r="AC60" s="429"/>
      <c r="AD60" s="430"/>
      <c r="AE60" s="370"/>
      <c r="AF60" s="21"/>
      <c r="AG60" s="430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</row>
    <row r="61">
      <c r="A61" s="427">
        <f>IFERROR(__xludf.DUMMYFUNCTION("""COMPUTED_VALUE"""),297.0)</f>
        <v>297</v>
      </c>
      <c r="B61" s="418" t="str">
        <f>IFERROR(__xludf.DUMMYFUNCTION("""COMPUTED_VALUE"""),"Combustível")</f>
        <v>Combustível</v>
      </c>
      <c r="C61" s="419" t="str">
        <f>IFERROR(__xludf.DUMMYFUNCTION("IF(ISBLANK($B61),"""",query('Saída'!$K$3:$R$505,""Select R where N = '""&amp;$B61&amp;""' and K = ""&amp;$A61,0))"),"Credicard")</f>
        <v>Credicard</v>
      </c>
      <c r="D61" s="420"/>
      <c r="E61" s="421">
        <f>IFERROR(__xludf.DUMMYFUNCTION("if(isblank($B61),"""",split(rept(0&amp;""-"",month(query('Saída'!$J$3:$R$505,""Select M where N = '""&amp;$B61&amp;""' and K = ""&amp;$A61,0))-1)&amp;rept(query('Saída'!$J$3:$R$505,""Select Q where N = '""&amp;$B61&amp;""' and K = ""&amp;$A61,0)&amp;""-"",query('Saída'!$J$3:$R$505,""Select "&amp;"P where N = '""&amp;$B61&amp;""' and K = ""&amp;$A61,0)),""-""))"),0.0)</f>
        <v>0</v>
      </c>
      <c r="F61" s="423">
        <f>IFERROR(__xludf.DUMMYFUNCTION("""COMPUTED_VALUE"""),0.0)</f>
        <v>0</v>
      </c>
      <c r="G61" s="423">
        <f>IFERROR(__xludf.DUMMYFUNCTION("""COMPUTED_VALUE"""),0.0)</f>
        <v>0</v>
      </c>
      <c r="H61" s="423">
        <f>IFERROR(__xludf.DUMMYFUNCTION("""COMPUTED_VALUE"""),0.0)</f>
        <v>0</v>
      </c>
      <c r="I61" s="423">
        <f>IFERROR(__xludf.DUMMYFUNCTION("""COMPUTED_VALUE"""),0.0)</f>
        <v>0</v>
      </c>
      <c r="J61" s="423">
        <f>IFERROR(__xludf.DUMMYFUNCTION("""COMPUTED_VALUE"""),0.0)</f>
        <v>0</v>
      </c>
      <c r="K61" s="423">
        <f>IFERROR(__xludf.DUMMYFUNCTION("""COMPUTED_VALUE"""),0.0)</f>
        <v>0</v>
      </c>
      <c r="L61" s="423">
        <f>IFERROR(__xludf.DUMMYFUNCTION("""COMPUTED_VALUE"""),100.0)</f>
        <v>100</v>
      </c>
      <c r="M61" s="423"/>
      <c r="N61" s="423"/>
      <c r="O61" s="423"/>
      <c r="P61" s="423"/>
      <c r="Q61" s="423"/>
      <c r="R61" s="423"/>
      <c r="S61" s="423"/>
      <c r="T61" s="423"/>
      <c r="U61" s="423"/>
      <c r="V61" s="423"/>
      <c r="W61" s="423"/>
      <c r="X61" s="423"/>
      <c r="Y61" s="423"/>
      <c r="Z61" s="423"/>
      <c r="AA61" s="424"/>
      <c r="AB61" s="21"/>
      <c r="AC61" s="429"/>
      <c r="AD61" s="430"/>
      <c r="AE61" s="370"/>
      <c r="AF61" s="21"/>
      <c r="AG61" s="430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</row>
    <row r="62">
      <c r="A62" s="427">
        <f>IFERROR(__xludf.DUMMYFUNCTION("""COMPUTED_VALUE"""),298.0)</f>
        <v>298</v>
      </c>
      <c r="B62" s="418" t="str">
        <f>IFERROR(__xludf.DUMMYFUNCTION("""COMPUTED_VALUE"""),"Carrefour")</f>
        <v>Carrefour</v>
      </c>
      <c r="C62" s="419" t="str">
        <f>IFERROR(__xludf.DUMMYFUNCTION("IF(ISBLANK($B62),"""",query('Saída'!$K$3:$R$505,""Select R where N = '""&amp;$B62&amp;""' and K = ""&amp;$A62,0))"),"Carrefour")</f>
        <v>Carrefour</v>
      </c>
      <c r="D62" s="420"/>
      <c r="E62" s="421">
        <f>IFERROR(__xludf.DUMMYFUNCTION("if(isblank($B62),"""",split(rept(0&amp;""-"",month(query('Saída'!$J$3:$R$505,""Select M where N = '""&amp;$B62&amp;""' and K = ""&amp;$A62,0))-1)&amp;rept(query('Saída'!$J$3:$R$505,""Select Q where N = '""&amp;$B62&amp;""' and K = ""&amp;$A62,0)&amp;""-"",query('Saída'!$J$3:$R$505,""Select "&amp;"P where N = '""&amp;$B62&amp;""' and K = ""&amp;$A62,0)),""-""))"),0.0)</f>
        <v>0</v>
      </c>
      <c r="F62" s="423">
        <f>IFERROR(__xludf.DUMMYFUNCTION("""COMPUTED_VALUE"""),0.0)</f>
        <v>0</v>
      </c>
      <c r="G62" s="423">
        <f>IFERROR(__xludf.DUMMYFUNCTION("""COMPUTED_VALUE"""),0.0)</f>
        <v>0</v>
      </c>
      <c r="H62" s="423">
        <f>IFERROR(__xludf.DUMMYFUNCTION("""COMPUTED_VALUE"""),0.0)</f>
        <v>0</v>
      </c>
      <c r="I62" s="423">
        <f>IFERROR(__xludf.DUMMYFUNCTION("""COMPUTED_VALUE"""),0.0)</f>
        <v>0</v>
      </c>
      <c r="J62" s="423">
        <f>IFERROR(__xludf.DUMMYFUNCTION("""COMPUTED_VALUE"""),0.0)</f>
        <v>0</v>
      </c>
      <c r="K62" s="423">
        <f>IFERROR(__xludf.DUMMYFUNCTION("""COMPUTED_VALUE"""),0.0)</f>
        <v>0</v>
      </c>
      <c r="L62" s="423">
        <f>IFERROR(__xludf.DUMMYFUNCTION("""COMPUTED_VALUE"""),28.83)</f>
        <v>28.83</v>
      </c>
      <c r="M62" s="423"/>
      <c r="N62" s="423"/>
      <c r="O62" s="423"/>
      <c r="P62" s="423"/>
      <c r="Q62" s="423"/>
      <c r="R62" s="423"/>
      <c r="S62" s="423"/>
      <c r="T62" s="423"/>
      <c r="U62" s="423"/>
      <c r="V62" s="423"/>
      <c r="W62" s="423"/>
      <c r="X62" s="423"/>
      <c r="Y62" s="423"/>
      <c r="Z62" s="423"/>
      <c r="AA62" s="424"/>
      <c r="AB62" s="21"/>
      <c r="AC62" s="429"/>
      <c r="AD62" s="430"/>
      <c r="AE62" s="370"/>
      <c r="AF62" s="21"/>
      <c r="AG62" s="430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</row>
    <row r="63">
      <c r="A63" s="427">
        <f>IFERROR(__xludf.DUMMYFUNCTION("""COMPUTED_VALUE"""),299.0)</f>
        <v>299</v>
      </c>
      <c r="B63" s="418" t="str">
        <f>IFERROR(__xludf.DUMMYFUNCTION("""COMPUTED_VALUE"""),"Jantar")</f>
        <v>Jantar</v>
      </c>
      <c r="C63" s="419" t="str">
        <f>IFERROR(__xludf.DUMMYFUNCTION("IF(ISBLANK($B63),"""",query('Saída'!$K$3:$R$505,""Select R where N = '""&amp;$B63&amp;""' and K = ""&amp;$A63,0))"),"Nubank")</f>
        <v>Nubank</v>
      </c>
      <c r="D63" s="420"/>
      <c r="E63" s="421">
        <f>IFERROR(__xludf.DUMMYFUNCTION("if(isblank($B63),"""",split(rept(0&amp;""-"",month(query('Saída'!$J$3:$R$505,""Select M where N = '""&amp;$B63&amp;""' and K = ""&amp;$A63,0))-1)&amp;rept(query('Saída'!$J$3:$R$505,""Select Q where N = '""&amp;$B63&amp;""' and K = ""&amp;$A63,0)&amp;""-"",query('Saída'!$J$3:$R$505,""Select "&amp;"P where N = '""&amp;$B63&amp;""' and K = ""&amp;$A63,0)),""-""))"),0.0)</f>
        <v>0</v>
      </c>
      <c r="F63" s="423">
        <f>IFERROR(__xludf.DUMMYFUNCTION("""COMPUTED_VALUE"""),0.0)</f>
        <v>0</v>
      </c>
      <c r="G63" s="423">
        <f>IFERROR(__xludf.DUMMYFUNCTION("""COMPUTED_VALUE"""),0.0)</f>
        <v>0</v>
      </c>
      <c r="H63" s="423">
        <f>IFERROR(__xludf.DUMMYFUNCTION("""COMPUTED_VALUE"""),0.0)</f>
        <v>0</v>
      </c>
      <c r="I63" s="423">
        <f>IFERROR(__xludf.DUMMYFUNCTION("""COMPUTED_VALUE"""),0.0)</f>
        <v>0</v>
      </c>
      <c r="J63" s="423">
        <f>IFERROR(__xludf.DUMMYFUNCTION("""COMPUTED_VALUE"""),0.0)</f>
        <v>0</v>
      </c>
      <c r="K63" s="423">
        <f>IFERROR(__xludf.DUMMYFUNCTION("""COMPUTED_VALUE"""),0.0)</f>
        <v>0</v>
      </c>
      <c r="L63" s="423">
        <f>IFERROR(__xludf.DUMMYFUNCTION("""COMPUTED_VALUE"""),101.2)</f>
        <v>101.2</v>
      </c>
      <c r="M63" s="423"/>
      <c r="N63" s="423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  <c r="AA63" s="424"/>
      <c r="AB63" s="21"/>
      <c r="AC63" s="429"/>
      <c r="AD63" s="430"/>
      <c r="AE63" s="370"/>
      <c r="AF63" s="21"/>
      <c r="AG63" s="430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</row>
    <row r="64">
      <c r="A64" s="427">
        <f>IFERROR(__xludf.DUMMYFUNCTION("""COMPUTED_VALUE"""),300.0)</f>
        <v>300</v>
      </c>
      <c r="B64" s="418" t="str">
        <f>IFERROR(__xludf.DUMMYFUNCTION("""COMPUTED_VALUE"""),"Carrefour")</f>
        <v>Carrefour</v>
      </c>
      <c r="C64" s="419" t="str">
        <f>IFERROR(__xludf.DUMMYFUNCTION("IF(ISBLANK($B64),"""",query('Saída'!$K$3:$R$505,""Select R where N = '""&amp;$B64&amp;""' and K = ""&amp;$A64,0))"),"Carrefour")</f>
        <v>Carrefour</v>
      </c>
      <c r="D64" s="420"/>
      <c r="E64" s="421">
        <f>IFERROR(__xludf.DUMMYFUNCTION("if(isblank($B64),"""",split(rept(0&amp;""-"",month(query('Saída'!$J$3:$R$505,""Select M where N = '""&amp;$B64&amp;""' and K = ""&amp;$A64,0))-1)&amp;rept(query('Saída'!$J$3:$R$505,""Select Q where N = '""&amp;$B64&amp;""' and K = ""&amp;$A64,0)&amp;""-"",query('Saída'!$J$3:$R$505,""Select "&amp;"P where N = '""&amp;$B64&amp;""' and K = ""&amp;$A64,0)),""-""))"),0.0)</f>
        <v>0</v>
      </c>
      <c r="F64" s="423">
        <f>IFERROR(__xludf.DUMMYFUNCTION("""COMPUTED_VALUE"""),0.0)</f>
        <v>0</v>
      </c>
      <c r="G64" s="423">
        <f>IFERROR(__xludf.DUMMYFUNCTION("""COMPUTED_VALUE"""),0.0)</f>
        <v>0</v>
      </c>
      <c r="H64" s="423">
        <f>IFERROR(__xludf.DUMMYFUNCTION("""COMPUTED_VALUE"""),0.0)</f>
        <v>0</v>
      </c>
      <c r="I64" s="423">
        <f>IFERROR(__xludf.DUMMYFUNCTION("""COMPUTED_VALUE"""),0.0)</f>
        <v>0</v>
      </c>
      <c r="J64" s="423">
        <f>IFERROR(__xludf.DUMMYFUNCTION("""COMPUTED_VALUE"""),0.0)</f>
        <v>0</v>
      </c>
      <c r="K64" s="423">
        <f>IFERROR(__xludf.DUMMYFUNCTION("""COMPUTED_VALUE"""),0.0)</f>
        <v>0</v>
      </c>
      <c r="L64" s="423">
        <f>IFERROR(__xludf.DUMMYFUNCTION("""COMPUTED_VALUE"""),50.06)</f>
        <v>50.06</v>
      </c>
      <c r="M64" s="423"/>
      <c r="N64" s="423"/>
      <c r="O64" s="423"/>
      <c r="P64" s="423"/>
      <c r="Q64" s="423"/>
      <c r="R64" s="423"/>
      <c r="S64" s="423"/>
      <c r="T64" s="423"/>
      <c r="U64" s="423"/>
      <c r="V64" s="423"/>
      <c r="W64" s="423"/>
      <c r="X64" s="423"/>
      <c r="Y64" s="423"/>
      <c r="Z64" s="423"/>
      <c r="AA64" s="424"/>
      <c r="AB64" s="21"/>
      <c r="AC64" s="429"/>
      <c r="AD64" s="430"/>
      <c r="AE64" s="370"/>
      <c r="AF64" s="21"/>
      <c r="AG64" s="430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</row>
    <row r="65">
      <c r="A65" s="427">
        <f>IFERROR(__xludf.DUMMYFUNCTION("""COMPUTED_VALUE"""),301.0)</f>
        <v>301</v>
      </c>
      <c r="B65" s="418" t="str">
        <f>IFERROR(__xludf.DUMMYFUNCTION("""COMPUTED_VALUE"""),"Carrefour")</f>
        <v>Carrefour</v>
      </c>
      <c r="C65" s="419" t="str">
        <f>IFERROR(__xludf.DUMMYFUNCTION("IF(ISBLANK($B65),"""",query('Saída'!$K$3:$R$505,""Select R where N = '""&amp;$B65&amp;""' and K = ""&amp;$A65,0))"),"Carrefour")</f>
        <v>Carrefour</v>
      </c>
      <c r="D65" s="420"/>
      <c r="E65" s="421">
        <f>IFERROR(__xludf.DUMMYFUNCTION("if(isblank($B65),"""",split(rept(0&amp;""-"",month(query('Saída'!$J$3:$R$505,""Select M where N = '""&amp;$B65&amp;""' and K = ""&amp;$A65,0))-1)&amp;rept(query('Saída'!$J$3:$R$505,""Select Q where N = '""&amp;$B65&amp;""' and K = ""&amp;$A65,0)&amp;""-"",query('Saída'!$J$3:$R$505,""Select "&amp;"P where N = '""&amp;$B65&amp;""' and K = ""&amp;$A65,0)),""-""))"),0.0)</f>
        <v>0</v>
      </c>
      <c r="F65" s="423">
        <f>IFERROR(__xludf.DUMMYFUNCTION("""COMPUTED_VALUE"""),0.0)</f>
        <v>0</v>
      </c>
      <c r="G65" s="423">
        <f>IFERROR(__xludf.DUMMYFUNCTION("""COMPUTED_VALUE"""),0.0)</f>
        <v>0</v>
      </c>
      <c r="H65" s="423">
        <f>IFERROR(__xludf.DUMMYFUNCTION("""COMPUTED_VALUE"""),0.0)</f>
        <v>0</v>
      </c>
      <c r="I65" s="423">
        <f>IFERROR(__xludf.DUMMYFUNCTION("""COMPUTED_VALUE"""),0.0)</f>
        <v>0</v>
      </c>
      <c r="J65" s="423">
        <f>IFERROR(__xludf.DUMMYFUNCTION("""COMPUTED_VALUE"""),0.0)</f>
        <v>0</v>
      </c>
      <c r="K65" s="423">
        <f>IFERROR(__xludf.DUMMYFUNCTION("""COMPUTED_VALUE"""),0.0)</f>
        <v>0</v>
      </c>
      <c r="L65" s="423">
        <f>IFERROR(__xludf.DUMMYFUNCTION("""COMPUTED_VALUE"""),24.24)</f>
        <v>24.24</v>
      </c>
      <c r="M65" s="423"/>
      <c r="N65" s="423"/>
      <c r="O65" s="423"/>
      <c r="P65" s="423"/>
      <c r="Q65" s="423"/>
      <c r="R65" s="423"/>
      <c r="S65" s="423"/>
      <c r="T65" s="423"/>
      <c r="U65" s="423"/>
      <c r="V65" s="423"/>
      <c r="W65" s="423"/>
      <c r="X65" s="423"/>
      <c r="Y65" s="423"/>
      <c r="Z65" s="423"/>
      <c r="AA65" s="424"/>
      <c r="AB65" s="21"/>
      <c r="AC65" s="429"/>
      <c r="AD65" s="430"/>
      <c r="AE65" s="370"/>
      <c r="AF65" s="21"/>
      <c r="AG65" s="430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</row>
    <row r="66">
      <c r="A66" s="427">
        <f>IFERROR(__xludf.DUMMYFUNCTION("""COMPUTED_VALUE"""),302.0)</f>
        <v>302</v>
      </c>
      <c r="B66" s="418" t="str">
        <f>IFERROR(__xludf.DUMMYFUNCTION("""COMPUTED_VALUE"""),"Mineirão")</f>
        <v>Mineirão</v>
      </c>
      <c r="C66" s="419" t="str">
        <f>IFERROR(__xludf.DUMMYFUNCTION("IF(ISBLANK($B66),"""",query('Saída'!$K$3:$R$505,""Select R where N = '""&amp;$B66&amp;""' and K = ""&amp;$A66,0))"),"Carrefour")</f>
        <v>Carrefour</v>
      </c>
      <c r="D66" s="420"/>
      <c r="E66" s="421">
        <f>IFERROR(__xludf.DUMMYFUNCTION("if(isblank($B66),"""",split(rept(0&amp;""-"",month(query('Saída'!$J$3:$R$505,""Select M where N = '""&amp;$B66&amp;""' and K = ""&amp;$A66,0))-1)&amp;rept(query('Saída'!$J$3:$R$505,""Select Q where N = '""&amp;$B66&amp;""' and K = ""&amp;$A66,0)&amp;""-"",query('Saída'!$J$3:$R$505,""Select "&amp;"P where N = '""&amp;$B66&amp;""' and K = ""&amp;$A66,0)),""-""))"),0.0)</f>
        <v>0</v>
      </c>
      <c r="F66" s="423">
        <f>IFERROR(__xludf.DUMMYFUNCTION("""COMPUTED_VALUE"""),0.0)</f>
        <v>0</v>
      </c>
      <c r="G66" s="423">
        <f>IFERROR(__xludf.DUMMYFUNCTION("""COMPUTED_VALUE"""),0.0)</f>
        <v>0</v>
      </c>
      <c r="H66" s="423">
        <f>IFERROR(__xludf.DUMMYFUNCTION("""COMPUTED_VALUE"""),0.0)</f>
        <v>0</v>
      </c>
      <c r="I66" s="423">
        <f>IFERROR(__xludf.DUMMYFUNCTION("""COMPUTED_VALUE"""),0.0)</f>
        <v>0</v>
      </c>
      <c r="J66" s="423">
        <f>IFERROR(__xludf.DUMMYFUNCTION("""COMPUTED_VALUE"""),0.0)</f>
        <v>0</v>
      </c>
      <c r="K66" s="423">
        <f>IFERROR(__xludf.DUMMYFUNCTION("""COMPUTED_VALUE"""),0.0)</f>
        <v>0</v>
      </c>
      <c r="L66" s="423">
        <f>IFERROR(__xludf.DUMMYFUNCTION("""COMPUTED_VALUE"""),113.44)</f>
        <v>113.44</v>
      </c>
      <c r="M66" s="423"/>
      <c r="N66" s="423"/>
      <c r="O66" s="423"/>
      <c r="P66" s="423"/>
      <c r="Q66" s="423"/>
      <c r="R66" s="423"/>
      <c r="S66" s="423"/>
      <c r="T66" s="423"/>
      <c r="U66" s="423"/>
      <c r="V66" s="423"/>
      <c r="W66" s="423"/>
      <c r="X66" s="423"/>
      <c r="Y66" s="423"/>
      <c r="Z66" s="423"/>
      <c r="AA66" s="424"/>
      <c r="AB66" s="21"/>
      <c r="AC66" s="429"/>
      <c r="AD66" s="430"/>
      <c r="AE66" s="370"/>
      <c r="AF66" s="21"/>
      <c r="AG66" s="430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</row>
    <row r="67">
      <c r="A67" s="427">
        <f>IFERROR(__xludf.DUMMYFUNCTION("""COMPUTED_VALUE"""),303.0)</f>
        <v>303</v>
      </c>
      <c r="B67" s="418" t="str">
        <f>IFERROR(__xludf.DUMMYFUNCTION("""COMPUTED_VALUE"""),"Dongle bluetooth")</f>
        <v>Dongle bluetooth</v>
      </c>
      <c r="C67" s="419" t="str">
        <f>IFERROR(__xludf.DUMMYFUNCTION("IF(ISBLANK($B67),"""",query('Saída'!$K$3:$R$505,""Select R where N = '""&amp;$B67&amp;""' and K = ""&amp;$A67,0))"),"Nubank")</f>
        <v>Nubank</v>
      </c>
      <c r="D67" s="420"/>
      <c r="E67" s="421">
        <f>IFERROR(__xludf.DUMMYFUNCTION("if(isblank($B67),"""",split(rept(0&amp;""-"",month(query('Saída'!$J$3:$R$505,""Select M where N = '""&amp;$B67&amp;""' and K = ""&amp;$A67,0))-1)&amp;rept(query('Saída'!$J$3:$R$505,""Select Q where N = '""&amp;$B67&amp;""' and K = ""&amp;$A67,0)&amp;""-"",query('Saída'!$J$3:$R$505,""Select "&amp;"P where N = '""&amp;$B67&amp;""' and K = ""&amp;$A67,0)),""-""))"),0.0)</f>
        <v>0</v>
      </c>
      <c r="F67" s="423">
        <f>IFERROR(__xludf.DUMMYFUNCTION("""COMPUTED_VALUE"""),0.0)</f>
        <v>0</v>
      </c>
      <c r="G67" s="423">
        <f>IFERROR(__xludf.DUMMYFUNCTION("""COMPUTED_VALUE"""),0.0)</f>
        <v>0</v>
      </c>
      <c r="H67" s="423">
        <f>IFERROR(__xludf.DUMMYFUNCTION("""COMPUTED_VALUE"""),0.0)</f>
        <v>0</v>
      </c>
      <c r="I67" s="423">
        <f>IFERROR(__xludf.DUMMYFUNCTION("""COMPUTED_VALUE"""),0.0)</f>
        <v>0</v>
      </c>
      <c r="J67" s="423">
        <f>IFERROR(__xludf.DUMMYFUNCTION("""COMPUTED_VALUE"""),0.0)</f>
        <v>0</v>
      </c>
      <c r="K67" s="423">
        <f>IFERROR(__xludf.DUMMYFUNCTION("""COMPUTED_VALUE"""),0.0)</f>
        <v>0</v>
      </c>
      <c r="L67" s="423">
        <f>IFERROR(__xludf.DUMMYFUNCTION("""COMPUTED_VALUE"""),17.04)</f>
        <v>17.04</v>
      </c>
      <c r="M67" s="423"/>
      <c r="N67" s="423"/>
      <c r="O67" s="423"/>
      <c r="P67" s="423"/>
      <c r="Q67" s="423"/>
      <c r="R67" s="423"/>
      <c r="S67" s="423"/>
      <c r="T67" s="423"/>
      <c r="U67" s="423"/>
      <c r="V67" s="423"/>
      <c r="W67" s="423"/>
      <c r="X67" s="423"/>
      <c r="Y67" s="423"/>
      <c r="Z67" s="423"/>
      <c r="AA67" s="424"/>
      <c r="AB67" s="21"/>
      <c r="AC67" s="429"/>
      <c r="AD67" s="430"/>
      <c r="AE67" s="370"/>
      <c r="AF67" s="21"/>
      <c r="AG67" s="430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</row>
    <row r="68">
      <c r="A68" s="427">
        <f>IFERROR(__xludf.DUMMYFUNCTION("""COMPUTED_VALUE"""),329.0)</f>
        <v>329</v>
      </c>
      <c r="B68" s="418" t="str">
        <f>IFERROR(__xludf.DUMMYFUNCTION("""COMPUTED_VALUE"""),"Gasolina")</f>
        <v>Gasolina</v>
      </c>
      <c r="C68" s="419" t="str">
        <f>IFERROR(__xludf.DUMMYFUNCTION("IF(ISBLANK($B68),"""",query('Saída'!$K$3:$R$505,""Select R where N = '""&amp;$B68&amp;""' and K = ""&amp;$A68,0))"),"Credicard")</f>
        <v>Credicard</v>
      </c>
      <c r="D68" s="420"/>
      <c r="E68" s="421">
        <f>IFERROR(__xludf.DUMMYFUNCTION("if(isblank($B68),"""",split(rept(0&amp;""-"",month(query('Saída'!$J$3:$R$505,""Select M where N = '""&amp;$B68&amp;""' and K = ""&amp;$A68,0))-1)&amp;rept(query('Saída'!$J$3:$R$505,""Select Q where N = '""&amp;$B68&amp;""' and K = ""&amp;$A68,0)&amp;""-"",query('Saída'!$J$3:$R$505,""Select "&amp;"P where N = '""&amp;$B68&amp;""' and K = ""&amp;$A68,0)),""-""))"),0.0)</f>
        <v>0</v>
      </c>
      <c r="F68" s="423">
        <f>IFERROR(__xludf.DUMMYFUNCTION("""COMPUTED_VALUE"""),0.0)</f>
        <v>0</v>
      </c>
      <c r="G68" s="423">
        <f>IFERROR(__xludf.DUMMYFUNCTION("""COMPUTED_VALUE"""),0.0)</f>
        <v>0</v>
      </c>
      <c r="H68" s="423">
        <f>IFERROR(__xludf.DUMMYFUNCTION("""COMPUTED_VALUE"""),0.0)</f>
        <v>0</v>
      </c>
      <c r="I68" s="423">
        <f>IFERROR(__xludf.DUMMYFUNCTION("""COMPUTED_VALUE"""),0.0)</f>
        <v>0</v>
      </c>
      <c r="J68" s="423">
        <f>IFERROR(__xludf.DUMMYFUNCTION("""COMPUTED_VALUE"""),0.0)</f>
        <v>0</v>
      </c>
      <c r="K68" s="423">
        <f>IFERROR(__xludf.DUMMYFUNCTION("""COMPUTED_VALUE"""),0.0)</f>
        <v>0</v>
      </c>
      <c r="L68" s="423">
        <f>IFERROR(__xludf.DUMMYFUNCTION("""COMPUTED_VALUE"""),0.0)</f>
        <v>0</v>
      </c>
      <c r="M68" s="423">
        <f>IFERROR(__xludf.DUMMYFUNCTION("""COMPUTED_VALUE"""),100.0)</f>
        <v>100</v>
      </c>
      <c r="N68" s="423"/>
      <c r="O68" s="423"/>
      <c r="P68" s="423"/>
      <c r="Q68" s="423"/>
      <c r="R68" s="423"/>
      <c r="S68" s="423"/>
      <c r="T68" s="423"/>
      <c r="U68" s="423"/>
      <c r="V68" s="423"/>
      <c r="W68" s="423"/>
      <c r="X68" s="423"/>
      <c r="Y68" s="423"/>
      <c r="Z68" s="423"/>
      <c r="AA68" s="424"/>
      <c r="AB68" s="21"/>
      <c r="AC68" s="429"/>
      <c r="AD68" s="430"/>
      <c r="AE68" s="370"/>
      <c r="AF68" s="21"/>
      <c r="AG68" s="430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</row>
    <row r="69">
      <c r="A69" s="427">
        <f>IFERROR(__xludf.DUMMYFUNCTION("""COMPUTED_VALUE"""),330.0)</f>
        <v>330</v>
      </c>
      <c r="B69" s="418" t="str">
        <f>IFERROR(__xludf.DUMMYFUNCTION("""COMPUTED_VALUE"""),"Carrefour")</f>
        <v>Carrefour</v>
      </c>
      <c r="C69" s="419" t="str">
        <f>IFERROR(__xludf.DUMMYFUNCTION("IF(ISBLANK($B69),"""",query('Saída'!$K$3:$R$505,""Select R where N = '""&amp;$B69&amp;""' and K = ""&amp;$A69,0))"),"Carrefour")</f>
        <v>Carrefour</v>
      </c>
      <c r="D69" s="420"/>
      <c r="E69" s="421">
        <f>IFERROR(__xludf.DUMMYFUNCTION("if(isblank($B69),"""",split(rept(0&amp;""-"",month(query('Saída'!$J$3:$R$505,""Select M where N = '""&amp;$B69&amp;""' and K = ""&amp;$A69,0))-1)&amp;rept(query('Saída'!$J$3:$R$505,""Select Q where N = '""&amp;$B69&amp;""' and K = ""&amp;$A69,0)&amp;""-"",query('Saída'!$J$3:$R$505,""Select "&amp;"P where N = '""&amp;$B69&amp;""' and K = ""&amp;$A69,0)),""-""))"),0.0)</f>
        <v>0</v>
      </c>
      <c r="F69" s="423">
        <f>IFERROR(__xludf.DUMMYFUNCTION("""COMPUTED_VALUE"""),0.0)</f>
        <v>0</v>
      </c>
      <c r="G69" s="423">
        <f>IFERROR(__xludf.DUMMYFUNCTION("""COMPUTED_VALUE"""),0.0)</f>
        <v>0</v>
      </c>
      <c r="H69" s="423">
        <f>IFERROR(__xludf.DUMMYFUNCTION("""COMPUTED_VALUE"""),0.0)</f>
        <v>0</v>
      </c>
      <c r="I69" s="423">
        <f>IFERROR(__xludf.DUMMYFUNCTION("""COMPUTED_VALUE"""),0.0)</f>
        <v>0</v>
      </c>
      <c r="J69" s="423">
        <f>IFERROR(__xludf.DUMMYFUNCTION("""COMPUTED_VALUE"""),0.0)</f>
        <v>0</v>
      </c>
      <c r="K69" s="423">
        <f>IFERROR(__xludf.DUMMYFUNCTION("""COMPUTED_VALUE"""),0.0)</f>
        <v>0</v>
      </c>
      <c r="L69" s="423">
        <f>IFERROR(__xludf.DUMMYFUNCTION("""COMPUTED_VALUE"""),0.0)</f>
        <v>0</v>
      </c>
      <c r="M69" s="423">
        <f>IFERROR(__xludf.DUMMYFUNCTION("""COMPUTED_VALUE"""),37.24)</f>
        <v>37.24</v>
      </c>
      <c r="N69" s="423"/>
      <c r="O69" s="423"/>
      <c r="P69" s="423"/>
      <c r="Q69" s="423"/>
      <c r="R69" s="423"/>
      <c r="S69" s="423"/>
      <c r="T69" s="423"/>
      <c r="U69" s="423"/>
      <c r="V69" s="423"/>
      <c r="W69" s="423"/>
      <c r="X69" s="423"/>
      <c r="Y69" s="423"/>
      <c r="Z69" s="423"/>
      <c r="AA69" s="424"/>
      <c r="AB69" s="21"/>
      <c r="AC69" s="429"/>
      <c r="AD69" s="430"/>
      <c r="AE69" s="370"/>
      <c r="AF69" s="21"/>
      <c r="AG69" s="430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</row>
    <row r="70">
      <c r="A70" s="427">
        <f>IFERROR(__xludf.DUMMYFUNCTION("""COMPUTED_VALUE"""),331.0)</f>
        <v>331</v>
      </c>
      <c r="B70" s="418" t="str">
        <f>IFERROR(__xludf.DUMMYFUNCTION("""COMPUTED_VALUE"""),"Uber")</f>
        <v>Uber</v>
      </c>
      <c r="C70" s="419" t="str">
        <f>IFERROR(__xludf.DUMMYFUNCTION("IF(ISBLANK($B70),"""",query('Saída'!$K$3:$R$505,""Select R where N = '""&amp;$B70&amp;""' and K = ""&amp;$A70,0))"),"Nubank")</f>
        <v>Nubank</v>
      </c>
      <c r="D70" s="420"/>
      <c r="E70" s="421">
        <f>IFERROR(__xludf.DUMMYFUNCTION("if(isblank($B70),"""",split(rept(0&amp;""-"",month(query('Saída'!$J$3:$R$505,""Select M where N = '""&amp;$B70&amp;""' and K = ""&amp;$A70,0))-1)&amp;rept(query('Saída'!$J$3:$R$505,""Select Q where N = '""&amp;$B70&amp;""' and K = ""&amp;$A70,0)&amp;""-"",query('Saída'!$J$3:$R$505,""Select "&amp;"P where N = '""&amp;$B70&amp;""' and K = ""&amp;$A70,0)),""-""))"),0.0)</f>
        <v>0</v>
      </c>
      <c r="F70" s="423">
        <f>IFERROR(__xludf.DUMMYFUNCTION("""COMPUTED_VALUE"""),0.0)</f>
        <v>0</v>
      </c>
      <c r="G70" s="423">
        <f>IFERROR(__xludf.DUMMYFUNCTION("""COMPUTED_VALUE"""),0.0)</f>
        <v>0</v>
      </c>
      <c r="H70" s="423">
        <f>IFERROR(__xludf.DUMMYFUNCTION("""COMPUTED_VALUE"""),0.0)</f>
        <v>0</v>
      </c>
      <c r="I70" s="423">
        <f>IFERROR(__xludf.DUMMYFUNCTION("""COMPUTED_VALUE"""),0.0)</f>
        <v>0</v>
      </c>
      <c r="J70" s="423">
        <f>IFERROR(__xludf.DUMMYFUNCTION("""COMPUTED_VALUE"""),0.0)</f>
        <v>0</v>
      </c>
      <c r="K70" s="423">
        <f>IFERROR(__xludf.DUMMYFUNCTION("""COMPUTED_VALUE"""),0.0)</f>
        <v>0</v>
      </c>
      <c r="L70" s="423">
        <f>IFERROR(__xludf.DUMMYFUNCTION("""COMPUTED_VALUE"""),0.0)</f>
        <v>0</v>
      </c>
      <c r="M70" s="423">
        <f>IFERROR(__xludf.DUMMYFUNCTION("""COMPUTED_VALUE"""),16.94)</f>
        <v>16.94</v>
      </c>
      <c r="N70" s="423"/>
      <c r="O70" s="423"/>
      <c r="P70" s="423"/>
      <c r="Q70" s="423"/>
      <c r="R70" s="423"/>
      <c r="S70" s="423"/>
      <c r="T70" s="423"/>
      <c r="U70" s="423"/>
      <c r="V70" s="423"/>
      <c r="W70" s="423"/>
      <c r="X70" s="423"/>
      <c r="Y70" s="423"/>
      <c r="Z70" s="423"/>
      <c r="AA70" s="424"/>
      <c r="AB70" s="21"/>
      <c r="AC70" s="429"/>
      <c r="AD70" s="430"/>
      <c r="AE70" s="370"/>
      <c r="AF70" s="21"/>
      <c r="AG70" s="430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</row>
    <row r="71">
      <c r="A71" s="427">
        <f>IFERROR(__xludf.DUMMYFUNCTION("""COMPUTED_VALUE"""),332.0)</f>
        <v>332</v>
      </c>
      <c r="B71" s="418" t="str">
        <f>IFERROR(__xludf.DUMMYFUNCTION("""COMPUTED_VALUE"""),"Carrefour")</f>
        <v>Carrefour</v>
      </c>
      <c r="C71" s="419" t="str">
        <f>IFERROR(__xludf.DUMMYFUNCTION("IF(ISBLANK($B71),"""",query('Saída'!$K$3:$R$505,""Select R where N = '""&amp;$B71&amp;""' and K = ""&amp;$A71,0))"),"Carrefour")</f>
        <v>Carrefour</v>
      </c>
      <c r="D71" s="420"/>
      <c r="E71" s="421">
        <f>IFERROR(__xludf.DUMMYFUNCTION("if(isblank($B71),"""",split(rept(0&amp;""-"",month(query('Saída'!$J$3:$R$505,""Select M where N = '""&amp;$B71&amp;""' and K = ""&amp;$A71,0))-1)&amp;rept(query('Saída'!$J$3:$R$505,""Select Q where N = '""&amp;$B71&amp;""' and K = ""&amp;$A71,0)&amp;""-"",query('Saída'!$J$3:$R$505,""Select "&amp;"P where N = '""&amp;$B71&amp;""' and K = ""&amp;$A71,0)),""-""))"),0.0)</f>
        <v>0</v>
      </c>
      <c r="F71" s="423">
        <f>IFERROR(__xludf.DUMMYFUNCTION("""COMPUTED_VALUE"""),0.0)</f>
        <v>0</v>
      </c>
      <c r="G71" s="423">
        <f>IFERROR(__xludf.DUMMYFUNCTION("""COMPUTED_VALUE"""),0.0)</f>
        <v>0</v>
      </c>
      <c r="H71" s="423">
        <f>IFERROR(__xludf.DUMMYFUNCTION("""COMPUTED_VALUE"""),0.0)</f>
        <v>0</v>
      </c>
      <c r="I71" s="423">
        <f>IFERROR(__xludf.DUMMYFUNCTION("""COMPUTED_VALUE"""),0.0)</f>
        <v>0</v>
      </c>
      <c r="J71" s="423">
        <f>IFERROR(__xludf.DUMMYFUNCTION("""COMPUTED_VALUE"""),0.0)</f>
        <v>0</v>
      </c>
      <c r="K71" s="423">
        <f>IFERROR(__xludf.DUMMYFUNCTION("""COMPUTED_VALUE"""),0.0)</f>
        <v>0</v>
      </c>
      <c r="L71" s="423">
        <f>IFERROR(__xludf.DUMMYFUNCTION("""COMPUTED_VALUE"""),0.0)</f>
        <v>0</v>
      </c>
      <c r="M71" s="423">
        <f>IFERROR(__xludf.DUMMYFUNCTION("""COMPUTED_VALUE"""),24.97)</f>
        <v>24.97</v>
      </c>
      <c r="N71" s="423"/>
      <c r="O71" s="423"/>
      <c r="P71" s="423"/>
      <c r="Q71" s="423"/>
      <c r="R71" s="423"/>
      <c r="S71" s="423"/>
      <c r="T71" s="423"/>
      <c r="U71" s="423"/>
      <c r="V71" s="423"/>
      <c r="W71" s="423"/>
      <c r="X71" s="423"/>
      <c r="Y71" s="423"/>
      <c r="Z71" s="423"/>
      <c r="AA71" s="424"/>
      <c r="AB71" s="21"/>
      <c r="AC71" s="429"/>
      <c r="AD71" s="430"/>
      <c r="AE71" s="370"/>
      <c r="AF71" s="21"/>
      <c r="AG71" s="430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</row>
    <row r="72">
      <c r="A72" s="427">
        <f>IFERROR(__xludf.DUMMYFUNCTION("""COMPUTED_VALUE"""),333.0)</f>
        <v>333</v>
      </c>
      <c r="B72" s="418" t="str">
        <f>IFERROR(__xludf.DUMMYFUNCTION("""COMPUTED_VALUE"""),"Tim")</f>
        <v>Tim</v>
      </c>
      <c r="C72" s="419" t="str">
        <f>IFERROR(__xludf.DUMMYFUNCTION("IF(ISBLANK($B72),"""",query('Saída'!$K$3:$R$505,""Select R where N = '""&amp;$B72&amp;""' and K = ""&amp;$A72,0))"),"Carrefour")</f>
        <v>Carrefour</v>
      </c>
      <c r="D72" s="420"/>
      <c r="E72" s="421">
        <f>IFERROR(__xludf.DUMMYFUNCTION("if(isblank($B72),"""",split(rept(0&amp;""-"",month(query('Saída'!$J$3:$R$505,""Select M where N = '""&amp;$B72&amp;""' and K = ""&amp;$A72,0))-1)&amp;rept(query('Saída'!$J$3:$R$505,""Select Q where N = '""&amp;$B72&amp;""' and K = ""&amp;$A72,0)&amp;""-"",query('Saída'!$J$3:$R$505,""Select "&amp;"P where N = '""&amp;$B72&amp;""' and K = ""&amp;$A72,0)),""-""))"),0.0)</f>
        <v>0</v>
      </c>
      <c r="F72" s="423">
        <f>IFERROR(__xludf.DUMMYFUNCTION("""COMPUTED_VALUE"""),0.0)</f>
        <v>0</v>
      </c>
      <c r="G72" s="423">
        <f>IFERROR(__xludf.DUMMYFUNCTION("""COMPUTED_VALUE"""),0.0)</f>
        <v>0</v>
      </c>
      <c r="H72" s="423">
        <f>IFERROR(__xludf.DUMMYFUNCTION("""COMPUTED_VALUE"""),0.0)</f>
        <v>0</v>
      </c>
      <c r="I72" s="423">
        <f>IFERROR(__xludf.DUMMYFUNCTION("""COMPUTED_VALUE"""),0.0)</f>
        <v>0</v>
      </c>
      <c r="J72" s="423">
        <f>IFERROR(__xludf.DUMMYFUNCTION("""COMPUTED_VALUE"""),0.0)</f>
        <v>0</v>
      </c>
      <c r="K72" s="423">
        <f>IFERROR(__xludf.DUMMYFUNCTION("""COMPUTED_VALUE"""),0.0)</f>
        <v>0</v>
      </c>
      <c r="L72" s="423">
        <f>IFERROR(__xludf.DUMMYFUNCTION("""COMPUTED_VALUE"""),0.0)</f>
        <v>0</v>
      </c>
      <c r="M72" s="423">
        <f>IFERROR(__xludf.DUMMYFUNCTION("""COMPUTED_VALUE"""),60.0)</f>
        <v>60</v>
      </c>
      <c r="N72" s="423"/>
      <c r="O72" s="423"/>
      <c r="P72" s="423"/>
      <c r="Q72" s="423"/>
      <c r="R72" s="423"/>
      <c r="S72" s="423"/>
      <c r="T72" s="423"/>
      <c r="U72" s="423"/>
      <c r="V72" s="423"/>
      <c r="W72" s="423"/>
      <c r="X72" s="423"/>
      <c r="Y72" s="423"/>
      <c r="Z72" s="423"/>
      <c r="AA72" s="424"/>
      <c r="AB72" s="21"/>
      <c r="AC72" s="429"/>
      <c r="AD72" s="430"/>
      <c r="AE72" s="370"/>
      <c r="AF72" s="21"/>
      <c r="AG72" s="430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</row>
    <row r="73">
      <c r="A73" s="427">
        <f>IFERROR(__xludf.DUMMYFUNCTION("""COMPUTED_VALUE"""),334.0)</f>
        <v>334</v>
      </c>
      <c r="B73" s="418" t="str">
        <f>IFERROR(__xludf.DUMMYFUNCTION("""COMPUTED_VALUE"""),"Carrefour")</f>
        <v>Carrefour</v>
      </c>
      <c r="C73" s="419" t="str">
        <f>IFERROR(__xludf.DUMMYFUNCTION("IF(ISBLANK($B73),"""",query('Saída'!$K$3:$R$505,""Select R where N = '""&amp;$B73&amp;""' and K = ""&amp;$A73,0))"),"Carrefour")</f>
        <v>Carrefour</v>
      </c>
      <c r="D73" s="420"/>
      <c r="E73" s="421">
        <f>IFERROR(__xludf.DUMMYFUNCTION("if(isblank($B73),"""",split(rept(0&amp;""-"",month(query('Saída'!$J$3:$R$505,""Select M where N = '""&amp;$B73&amp;""' and K = ""&amp;$A73,0))-1)&amp;rept(query('Saída'!$J$3:$R$505,""Select Q where N = '""&amp;$B73&amp;""' and K = ""&amp;$A73,0)&amp;""-"",query('Saída'!$J$3:$R$505,""Select "&amp;"P where N = '""&amp;$B73&amp;""' and K = ""&amp;$A73,0)),""-""))"),0.0)</f>
        <v>0</v>
      </c>
      <c r="F73" s="423">
        <f>IFERROR(__xludf.DUMMYFUNCTION("""COMPUTED_VALUE"""),0.0)</f>
        <v>0</v>
      </c>
      <c r="G73" s="423">
        <f>IFERROR(__xludf.DUMMYFUNCTION("""COMPUTED_VALUE"""),0.0)</f>
        <v>0</v>
      </c>
      <c r="H73" s="423">
        <f>IFERROR(__xludf.DUMMYFUNCTION("""COMPUTED_VALUE"""),0.0)</f>
        <v>0</v>
      </c>
      <c r="I73" s="423">
        <f>IFERROR(__xludf.DUMMYFUNCTION("""COMPUTED_VALUE"""),0.0)</f>
        <v>0</v>
      </c>
      <c r="J73" s="423">
        <f>IFERROR(__xludf.DUMMYFUNCTION("""COMPUTED_VALUE"""),0.0)</f>
        <v>0</v>
      </c>
      <c r="K73" s="423">
        <f>IFERROR(__xludf.DUMMYFUNCTION("""COMPUTED_VALUE"""),0.0)</f>
        <v>0</v>
      </c>
      <c r="L73" s="423">
        <f>IFERROR(__xludf.DUMMYFUNCTION("""COMPUTED_VALUE"""),0.0)</f>
        <v>0</v>
      </c>
      <c r="M73" s="423">
        <f>IFERROR(__xludf.DUMMYFUNCTION("""COMPUTED_VALUE"""),56.96)</f>
        <v>56.96</v>
      </c>
      <c r="N73" s="423"/>
      <c r="O73" s="423"/>
      <c r="P73" s="423"/>
      <c r="Q73" s="423"/>
      <c r="R73" s="423"/>
      <c r="S73" s="423"/>
      <c r="T73" s="423"/>
      <c r="U73" s="423"/>
      <c r="V73" s="423"/>
      <c r="W73" s="423"/>
      <c r="X73" s="423"/>
      <c r="Y73" s="423"/>
      <c r="Z73" s="423"/>
      <c r="AA73" s="424"/>
      <c r="AB73" s="21"/>
      <c r="AC73" s="429"/>
      <c r="AD73" s="430"/>
      <c r="AE73" s="370"/>
      <c r="AF73" s="21"/>
      <c r="AG73" s="430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</row>
    <row r="74">
      <c r="A74" s="427">
        <f>IFERROR(__xludf.DUMMYFUNCTION("""COMPUTED_VALUE"""),335.0)</f>
        <v>335</v>
      </c>
      <c r="B74" s="418" t="str">
        <f>IFERROR(__xludf.DUMMYFUNCTION("""COMPUTED_VALUE"""),"Mineirão")</f>
        <v>Mineirão</v>
      </c>
      <c r="C74" s="419" t="str">
        <f>IFERROR(__xludf.DUMMYFUNCTION("IF(ISBLANK($B74),"""",query('Saída'!$K$3:$R$505,""Select R where N = '""&amp;$B74&amp;""' and K = ""&amp;$A74,0))"),"Carrefour")</f>
        <v>Carrefour</v>
      </c>
      <c r="D74" s="420"/>
      <c r="E74" s="421">
        <f>IFERROR(__xludf.DUMMYFUNCTION("if(isblank($B74),"""",split(rept(0&amp;""-"",month(query('Saída'!$J$3:$R$505,""Select M where N = '""&amp;$B74&amp;""' and K = ""&amp;$A74,0))-1)&amp;rept(query('Saída'!$J$3:$R$505,""Select Q where N = '""&amp;$B74&amp;""' and K = ""&amp;$A74,0)&amp;""-"",query('Saída'!$J$3:$R$505,""Select "&amp;"P where N = '""&amp;$B74&amp;""' and K = ""&amp;$A74,0)),""-""))"),0.0)</f>
        <v>0</v>
      </c>
      <c r="F74" s="423">
        <f>IFERROR(__xludf.DUMMYFUNCTION("""COMPUTED_VALUE"""),0.0)</f>
        <v>0</v>
      </c>
      <c r="G74" s="423">
        <f>IFERROR(__xludf.DUMMYFUNCTION("""COMPUTED_VALUE"""),0.0)</f>
        <v>0</v>
      </c>
      <c r="H74" s="423">
        <f>IFERROR(__xludf.DUMMYFUNCTION("""COMPUTED_VALUE"""),0.0)</f>
        <v>0</v>
      </c>
      <c r="I74" s="423">
        <f>IFERROR(__xludf.DUMMYFUNCTION("""COMPUTED_VALUE"""),0.0)</f>
        <v>0</v>
      </c>
      <c r="J74" s="423">
        <f>IFERROR(__xludf.DUMMYFUNCTION("""COMPUTED_VALUE"""),0.0)</f>
        <v>0</v>
      </c>
      <c r="K74" s="423">
        <f>IFERROR(__xludf.DUMMYFUNCTION("""COMPUTED_VALUE"""),0.0)</f>
        <v>0</v>
      </c>
      <c r="L74" s="423">
        <f>IFERROR(__xludf.DUMMYFUNCTION("""COMPUTED_VALUE"""),0.0)</f>
        <v>0</v>
      </c>
      <c r="M74" s="423">
        <f>IFERROR(__xludf.DUMMYFUNCTION("""COMPUTED_VALUE"""),113.19)</f>
        <v>113.19</v>
      </c>
      <c r="N74" s="423"/>
      <c r="O74" s="423"/>
      <c r="P74" s="423"/>
      <c r="Q74" s="423"/>
      <c r="R74" s="423"/>
      <c r="S74" s="423"/>
      <c r="T74" s="423"/>
      <c r="U74" s="423"/>
      <c r="V74" s="423"/>
      <c r="W74" s="423"/>
      <c r="X74" s="423"/>
      <c r="Y74" s="423"/>
      <c r="Z74" s="423"/>
      <c r="AA74" s="424"/>
      <c r="AB74" s="21"/>
      <c r="AC74" s="429"/>
      <c r="AD74" s="430"/>
      <c r="AE74" s="370"/>
      <c r="AF74" s="21"/>
      <c r="AG74" s="430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</row>
    <row r="75">
      <c r="A75" s="427">
        <f>IFERROR(__xludf.DUMMYFUNCTION("""COMPUTED_VALUE"""),336.0)</f>
        <v>336</v>
      </c>
      <c r="B75" s="418" t="str">
        <f>IFERROR(__xludf.DUMMYFUNCTION("""COMPUTED_VALUE"""),"Carrefour")</f>
        <v>Carrefour</v>
      </c>
      <c r="C75" s="419" t="str">
        <f>IFERROR(__xludf.DUMMYFUNCTION("IF(ISBLANK($B75),"""",query('Saída'!$K$3:$R$505,""Select R where N = '""&amp;$B75&amp;""' and K = ""&amp;$A75,0))"),"Carrefour")</f>
        <v>Carrefour</v>
      </c>
      <c r="D75" s="420"/>
      <c r="E75" s="421">
        <f>IFERROR(__xludf.DUMMYFUNCTION("if(isblank($B75),"""",split(rept(0&amp;""-"",month(query('Saída'!$J$3:$R$505,""Select M where N = '""&amp;$B75&amp;""' and K = ""&amp;$A75,0))-1)&amp;rept(query('Saída'!$J$3:$R$505,""Select Q where N = '""&amp;$B75&amp;""' and K = ""&amp;$A75,0)&amp;""-"",query('Saída'!$J$3:$R$505,""Select "&amp;"P where N = '""&amp;$B75&amp;""' and K = ""&amp;$A75,0)),""-""))"),0.0)</f>
        <v>0</v>
      </c>
      <c r="F75" s="423">
        <f>IFERROR(__xludf.DUMMYFUNCTION("""COMPUTED_VALUE"""),0.0)</f>
        <v>0</v>
      </c>
      <c r="G75" s="423">
        <f>IFERROR(__xludf.DUMMYFUNCTION("""COMPUTED_VALUE"""),0.0)</f>
        <v>0</v>
      </c>
      <c r="H75" s="423">
        <f>IFERROR(__xludf.DUMMYFUNCTION("""COMPUTED_VALUE"""),0.0)</f>
        <v>0</v>
      </c>
      <c r="I75" s="423">
        <f>IFERROR(__xludf.DUMMYFUNCTION("""COMPUTED_VALUE"""),0.0)</f>
        <v>0</v>
      </c>
      <c r="J75" s="423">
        <f>IFERROR(__xludf.DUMMYFUNCTION("""COMPUTED_VALUE"""),0.0)</f>
        <v>0</v>
      </c>
      <c r="K75" s="423">
        <f>IFERROR(__xludf.DUMMYFUNCTION("""COMPUTED_VALUE"""),0.0)</f>
        <v>0</v>
      </c>
      <c r="L75" s="423">
        <f>IFERROR(__xludf.DUMMYFUNCTION("""COMPUTED_VALUE"""),0.0)</f>
        <v>0</v>
      </c>
      <c r="M75" s="423">
        <f>IFERROR(__xludf.DUMMYFUNCTION("""COMPUTED_VALUE"""),57.12)</f>
        <v>57.12</v>
      </c>
      <c r="N75" s="423"/>
      <c r="O75" s="423"/>
      <c r="P75" s="423"/>
      <c r="Q75" s="423"/>
      <c r="R75" s="423"/>
      <c r="S75" s="423"/>
      <c r="T75" s="423"/>
      <c r="U75" s="423"/>
      <c r="V75" s="423"/>
      <c r="W75" s="423"/>
      <c r="X75" s="423"/>
      <c r="Y75" s="423"/>
      <c r="Z75" s="423"/>
      <c r="AA75" s="424"/>
      <c r="AB75" s="21"/>
      <c r="AC75" s="429"/>
      <c r="AD75" s="430"/>
      <c r="AE75" s="370"/>
      <c r="AF75" s="21"/>
      <c r="AG75" s="430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</row>
    <row r="76">
      <c r="A76" s="427">
        <f>IFERROR(__xludf.DUMMYFUNCTION("""COMPUTED_VALUE"""),337.0)</f>
        <v>337</v>
      </c>
      <c r="B76" s="418" t="str">
        <f>IFERROR(__xludf.DUMMYFUNCTION("""COMPUTED_VALUE"""),"Essencia de pizza")</f>
        <v>Essencia de pizza</v>
      </c>
      <c r="C76" s="419" t="str">
        <f>IFERROR(__xludf.DUMMYFUNCTION("IF(ISBLANK($B76),"""",query('Saída'!$K$3:$R$505,""Select R where N = '""&amp;$B76&amp;""' and K = ""&amp;$A76,0))"),"Nubank")</f>
        <v>Nubank</v>
      </c>
      <c r="D76" s="420"/>
      <c r="E76" s="421">
        <f>IFERROR(__xludf.DUMMYFUNCTION("if(isblank($B76),"""",split(rept(0&amp;""-"",month(query('Saída'!$J$3:$R$505,""Select M where N = '""&amp;$B76&amp;""' and K = ""&amp;$A76,0))-1)&amp;rept(query('Saída'!$J$3:$R$505,""Select Q where N = '""&amp;$B76&amp;""' and K = ""&amp;$A76,0)&amp;""-"",query('Saída'!$J$3:$R$505,""Select "&amp;"P where N = '""&amp;$B76&amp;""' and K = ""&amp;$A76,0)),""-""))"),0.0)</f>
        <v>0</v>
      </c>
      <c r="F76" s="423">
        <f>IFERROR(__xludf.DUMMYFUNCTION("""COMPUTED_VALUE"""),0.0)</f>
        <v>0</v>
      </c>
      <c r="G76" s="423">
        <f>IFERROR(__xludf.DUMMYFUNCTION("""COMPUTED_VALUE"""),0.0)</f>
        <v>0</v>
      </c>
      <c r="H76" s="423">
        <f>IFERROR(__xludf.DUMMYFUNCTION("""COMPUTED_VALUE"""),0.0)</f>
        <v>0</v>
      </c>
      <c r="I76" s="423">
        <f>IFERROR(__xludf.DUMMYFUNCTION("""COMPUTED_VALUE"""),0.0)</f>
        <v>0</v>
      </c>
      <c r="J76" s="423">
        <f>IFERROR(__xludf.DUMMYFUNCTION("""COMPUTED_VALUE"""),0.0)</f>
        <v>0</v>
      </c>
      <c r="K76" s="423">
        <f>IFERROR(__xludf.DUMMYFUNCTION("""COMPUTED_VALUE"""),0.0)</f>
        <v>0</v>
      </c>
      <c r="L76" s="423">
        <f>IFERROR(__xludf.DUMMYFUNCTION("""COMPUTED_VALUE"""),0.0)</f>
        <v>0</v>
      </c>
      <c r="M76" s="423">
        <f>IFERROR(__xludf.DUMMYFUNCTION("""COMPUTED_VALUE"""),68.0)</f>
        <v>68</v>
      </c>
      <c r="N76" s="423"/>
      <c r="O76" s="423"/>
      <c r="P76" s="423"/>
      <c r="Q76" s="423"/>
      <c r="R76" s="423"/>
      <c r="S76" s="423"/>
      <c r="T76" s="423"/>
      <c r="U76" s="423"/>
      <c r="V76" s="423"/>
      <c r="W76" s="423"/>
      <c r="X76" s="423"/>
      <c r="Y76" s="423"/>
      <c r="Z76" s="423"/>
      <c r="AA76" s="424"/>
      <c r="AB76" s="21"/>
      <c r="AC76" s="429"/>
      <c r="AD76" s="430"/>
      <c r="AE76" s="370"/>
      <c r="AF76" s="21"/>
      <c r="AG76" s="430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</row>
    <row r="77">
      <c r="A77" s="427">
        <f>IFERROR(__xludf.DUMMYFUNCTION("""COMPUTED_VALUE"""),338.0)</f>
        <v>338</v>
      </c>
      <c r="B77" s="418" t="str">
        <f>IFERROR(__xludf.DUMMYFUNCTION("""COMPUTED_VALUE"""),"Carrefour")</f>
        <v>Carrefour</v>
      </c>
      <c r="C77" s="419" t="str">
        <f>IFERROR(__xludf.DUMMYFUNCTION("IF(ISBLANK($B77),"""",query('Saída'!$K$3:$R$505,""Select R where N = '""&amp;$B77&amp;""' and K = ""&amp;$A77,0))"),"Carrefour")</f>
        <v>Carrefour</v>
      </c>
      <c r="D77" s="420"/>
      <c r="E77" s="421">
        <f>IFERROR(__xludf.DUMMYFUNCTION("if(isblank($B77),"""",split(rept(0&amp;""-"",month(query('Saída'!$J$3:$R$505,""Select M where N = '""&amp;$B77&amp;""' and K = ""&amp;$A77,0))-1)&amp;rept(query('Saída'!$J$3:$R$505,""Select Q where N = '""&amp;$B77&amp;""' and K = ""&amp;$A77,0)&amp;""-"",query('Saída'!$J$3:$R$505,""Select "&amp;"P where N = '""&amp;$B77&amp;""' and K = ""&amp;$A77,0)),""-""))"),0.0)</f>
        <v>0</v>
      </c>
      <c r="F77" s="423">
        <f>IFERROR(__xludf.DUMMYFUNCTION("""COMPUTED_VALUE"""),0.0)</f>
        <v>0</v>
      </c>
      <c r="G77" s="423">
        <f>IFERROR(__xludf.DUMMYFUNCTION("""COMPUTED_VALUE"""),0.0)</f>
        <v>0</v>
      </c>
      <c r="H77" s="423">
        <f>IFERROR(__xludf.DUMMYFUNCTION("""COMPUTED_VALUE"""),0.0)</f>
        <v>0</v>
      </c>
      <c r="I77" s="423">
        <f>IFERROR(__xludf.DUMMYFUNCTION("""COMPUTED_VALUE"""),0.0)</f>
        <v>0</v>
      </c>
      <c r="J77" s="423">
        <f>IFERROR(__xludf.DUMMYFUNCTION("""COMPUTED_VALUE"""),0.0)</f>
        <v>0</v>
      </c>
      <c r="K77" s="423">
        <f>IFERROR(__xludf.DUMMYFUNCTION("""COMPUTED_VALUE"""),0.0)</f>
        <v>0</v>
      </c>
      <c r="L77" s="423">
        <f>IFERROR(__xludf.DUMMYFUNCTION("""COMPUTED_VALUE"""),0.0)</f>
        <v>0</v>
      </c>
      <c r="M77" s="423">
        <f>IFERROR(__xludf.DUMMYFUNCTION("""COMPUTED_VALUE"""),42.98)</f>
        <v>42.98</v>
      </c>
      <c r="N77" s="423"/>
      <c r="O77" s="423"/>
      <c r="P77" s="423"/>
      <c r="Q77" s="423"/>
      <c r="R77" s="423"/>
      <c r="S77" s="423"/>
      <c r="T77" s="423"/>
      <c r="U77" s="423"/>
      <c r="V77" s="423"/>
      <c r="W77" s="423"/>
      <c r="X77" s="423"/>
      <c r="Y77" s="423"/>
      <c r="Z77" s="423"/>
      <c r="AA77" s="424"/>
      <c r="AB77" s="21"/>
      <c r="AC77" s="429"/>
      <c r="AD77" s="430"/>
      <c r="AE77" s="370"/>
      <c r="AF77" s="21"/>
      <c r="AG77" s="430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</row>
    <row r="78">
      <c r="A78" s="427">
        <f>IFERROR(__xludf.DUMMYFUNCTION("""COMPUTED_VALUE"""),339.0)</f>
        <v>339</v>
      </c>
      <c r="B78" s="418" t="str">
        <f>IFERROR(__xludf.DUMMYFUNCTION("""COMPUTED_VALUE"""),"Mineirão")</f>
        <v>Mineirão</v>
      </c>
      <c r="C78" s="419" t="str">
        <f>IFERROR(__xludf.DUMMYFUNCTION("IF(ISBLANK($B78),"""",query('Saída'!$K$3:$R$505,""Select R where N = '""&amp;$B78&amp;""' and K = ""&amp;$A78,0))"),"Carrefour")</f>
        <v>Carrefour</v>
      </c>
      <c r="D78" s="420"/>
      <c r="E78" s="421">
        <f>IFERROR(__xludf.DUMMYFUNCTION("if(isblank($B78),"""",split(rept(0&amp;""-"",month(query('Saída'!$J$3:$R$505,""Select M where N = '""&amp;$B78&amp;""' and K = ""&amp;$A78,0))-1)&amp;rept(query('Saída'!$J$3:$R$505,""Select Q where N = '""&amp;$B78&amp;""' and K = ""&amp;$A78,0)&amp;""-"",query('Saída'!$J$3:$R$505,""Select "&amp;"P where N = '""&amp;$B78&amp;""' and K = ""&amp;$A78,0)),""-""))"),0.0)</f>
        <v>0</v>
      </c>
      <c r="F78" s="423">
        <f>IFERROR(__xludf.DUMMYFUNCTION("""COMPUTED_VALUE"""),0.0)</f>
        <v>0</v>
      </c>
      <c r="G78" s="423">
        <f>IFERROR(__xludf.DUMMYFUNCTION("""COMPUTED_VALUE"""),0.0)</f>
        <v>0</v>
      </c>
      <c r="H78" s="423">
        <f>IFERROR(__xludf.DUMMYFUNCTION("""COMPUTED_VALUE"""),0.0)</f>
        <v>0</v>
      </c>
      <c r="I78" s="423">
        <f>IFERROR(__xludf.DUMMYFUNCTION("""COMPUTED_VALUE"""),0.0)</f>
        <v>0</v>
      </c>
      <c r="J78" s="423">
        <f>IFERROR(__xludf.DUMMYFUNCTION("""COMPUTED_VALUE"""),0.0)</f>
        <v>0</v>
      </c>
      <c r="K78" s="423">
        <f>IFERROR(__xludf.DUMMYFUNCTION("""COMPUTED_VALUE"""),0.0)</f>
        <v>0</v>
      </c>
      <c r="L78" s="423">
        <f>IFERROR(__xludf.DUMMYFUNCTION("""COMPUTED_VALUE"""),0.0)</f>
        <v>0</v>
      </c>
      <c r="M78" s="423">
        <f>IFERROR(__xludf.DUMMYFUNCTION("""COMPUTED_VALUE"""),81.98)</f>
        <v>81.98</v>
      </c>
      <c r="N78" s="423"/>
      <c r="O78" s="423"/>
      <c r="P78" s="423"/>
      <c r="Q78" s="423"/>
      <c r="R78" s="423"/>
      <c r="S78" s="423"/>
      <c r="T78" s="423"/>
      <c r="U78" s="423"/>
      <c r="V78" s="423"/>
      <c r="W78" s="423"/>
      <c r="X78" s="423"/>
      <c r="Y78" s="423"/>
      <c r="Z78" s="423"/>
      <c r="AA78" s="424"/>
      <c r="AB78" s="21"/>
      <c r="AC78" s="429"/>
      <c r="AD78" s="430"/>
      <c r="AE78" s="370"/>
      <c r="AF78" s="21"/>
      <c r="AG78" s="430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</row>
    <row r="79">
      <c r="A79" s="427">
        <f>IFERROR(__xludf.DUMMYFUNCTION("""COMPUTED_VALUE"""),340.0)</f>
        <v>340</v>
      </c>
      <c r="B79" s="418" t="str">
        <f>IFERROR(__xludf.DUMMYFUNCTION("""COMPUTED_VALUE"""),"Lucena")</f>
        <v>Lucena</v>
      </c>
      <c r="C79" s="419" t="str">
        <f>IFERROR(__xludf.DUMMYFUNCTION("IF(ISBLANK($B79),"""",query('Saída'!$K$3:$R$505,""Select R where N = '""&amp;$B79&amp;""' and K = ""&amp;$A79,0))"),"Carrefour")</f>
        <v>Carrefour</v>
      </c>
      <c r="D79" s="420"/>
      <c r="E79" s="421">
        <f>IFERROR(__xludf.DUMMYFUNCTION("if(isblank($B79),"""",split(rept(0&amp;""-"",month(query('Saída'!$J$3:$R$505,""Select M where N = '""&amp;$B79&amp;""' and K = ""&amp;$A79,0))-1)&amp;rept(query('Saída'!$J$3:$R$505,""Select Q where N = '""&amp;$B79&amp;""' and K = ""&amp;$A79,0)&amp;""-"",query('Saída'!$J$3:$R$505,""Select "&amp;"P where N = '""&amp;$B79&amp;""' and K = ""&amp;$A79,0)),""-""))"),0.0)</f>
        <v>0</v>
      </c>
      <c r="F79" s="423">
        <f>IFERROR(__xludf.DUMMYFUNCTION("""COMPUTED_VALUE"""),0.0)</f>
        <v>0</v>
      </c>
      <c r="G79" s="423">
        <f>IFERROR(__xludf.DUMMYFUNCTION("""COMPUTED_VALUE"""),0.0)</f>
        <v>0</v>
      </c>
      <c r="H79" s="423">
        <f>IFERROR(__xludf.DUMMYFUNCTION("""COMPUTED_VALUE"""),0.0)</f>
        <v>0</v>
      </c>
      <c r="I79" s="423">
        <f>IFERROR(__xludf.DUMMYFUNCTION("""COMPUTED_VALUE"""),0.0)</f>
        <v>0</v>
      </c>
      <c r="J79" s="423">
        <f>IFERROR(__xludf.DUMMYFUNCTION("""COMPUTED_VALUE"""),0.0)</f>
        <v>0</v>
      </c>
      <c r="K79" s="423">
        <f>IFERROR(__xludf.DUMMYFUNCTION("""COMPUTED_VALUE"""),0.0)</f>
        <v>0</v>
      </c>
      <c r="L79" s="423">
        <f>IFERROR(__xludf.DUMMYFUNCTION("""COMPUTED_VALUE"""),0.0)</f>
        <v>0</v>
      </c>
      <c r="M79" s="423">
        <f>IFERROR(__xludf.DUMMYFUNCTION("""COMPUTED_VALUE"""),95.54)</f>
        <v>95.54</v>
      </c>
      <c r="N79" s="423"/>
      <c r="O79" s="423"/>
      <c r="P79" s="423"/>
      <c r="Q79" s="423"/>
      <c r="R79" s="423"/>
      <c r="S79" s="423"/>
      <c r="T79" s="423"/>
      <c r="U79" s="423"/>
      <c r="V79" s="423"/>
      <c r="W79" s="423"/>
      <c r="X79" s="423"/>
      <c r="Y79" s="423"/>
      <c r="Z79" s="423"/>
      <c r="AA79" s="424"/>
      <c r="AB79" s="21"/>
      <c r="AC79" s="429"/>
      <c r="AD79" s="430"/>
      <c r="AE79" s="370"/>
      <c r="AF79" s="21"/>
      <c r="AG79" s="430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</row>
    <row r="80">
      <c r="A80" s="427">
        <f>IFERROR(__xludf.DUMMYFUNCTION("""COMPUTED_VALUE"""),341.0)</f>
        <v>341</v>
      </c>
      <c r="B80" s="418" t="str">
        <f>IFERROR(__xludf.DUMMYFUNCTION("""COMPUTED_VALUE"""),"Lampadinha")</f>
        <v>Lampadinha</v>
      </c>
      <c r="C80" s="419" t="str">
        <f>IFERROR(__xludf.DUMMYFUNCTION("IF(ISBLANK($B80),"""",query('Saída'!$K$3:$R$505,""Select R where N = '""&amp;$B80&amp;""' and K = ""&amp;$A80,0))"),"Credicard")</f>
        <v>Credicard</v>
      </c>
      <c r="D80" s="420"/>
      <c r="E80" s="421">
        <f>IFERROR(__xludf.DUMMYFUNCTION("if(isblank($B80),"""",split(rept(0&amp;""-"",month(query('Saída'!$J$3:$R$505,""Select M where N = '""&amp;$B80&amp;""' and K = ""&amp;$A80,0))-1)&amp;rept(query('Saída'!$J$3:$R$505,""Select Q where N = '""&amp;$B80&amp;""' and K = ""&amp;$A80,0)&amp;""-"",query('Saída'!$J$3:$R$505,""Select "&amp;"P where N = '""&amp;$B80&amp;""' and K = ""&amp;$A80,0)),""-""))"),0.0)</f>
        <v>0</v>
      </c>
      <c r="F80" s="423">
        <f>IFERROR(__xludf.DUMMYFUNCTION("""COMPUTED_VALUE"""),0.0)</f>
        <v>0</v>
      </c>
      <c r="G80" s="423">
        <f>IFERROR(__xludf.DUMMYFUNCTION("""COMPUTED_VALUE"""),0.0)</f>
        <v>0</v>
      </c>
      <c r="H80" s="423">
        <f>IFERROR(__xludf.DUMMYFUNCTION("""COMPUTED_VALUE"""),0.0)</f>
        <v>0</v>
      </c>
      <c r="I80" s="423">
        <f>IFERROR(__xludf.DUMMYFUNCTION("""COMPUTED_VALUE"""),0.0)</f>
        <v>0</v>
      </c>
      <c r="J80" s="423">
        <f>IFERROR(__xludf.DUMMYFUNCTION("""COMPUTED_VALUE"""),0.0)</f>
        <v>0</v>
      </c>
      <c r="K80" s="423">
        <f>IFERROR(__xludf.DUMMYFUNCTION("""COMPUTED_VALUE"""),0.0)</f>
        <v>0</v>
      </c>
      <c r="L80" s="423">
        <f>IFERROR(__xludf.DUMMYFUNCTION("""COMPUTED_VALUE"""),0.0)</f>
        <v>0</v>
      </c>
      <c r="M80" s="423">
        <f>IFERROR(__xludf.DUMMYFUNCTION("""COMPUTED_VALUE"""),43.9)</f>
        <v>43.9</v>
      </c>
      <c r="N80" s="423"/>
      <c r="O80" s="423"/>
      <c r="P80" s="423"/>
      <c r="Q80" s="423"/>
      <c r="R80" s="423"/>
      <c r="S80" s="423"/>
      <c r="T80" s="423"/>
      <c r="U80" s="423"/>
      <c r="V80" s="423"/>
      <c r="W80" s="423"/>
      <c r="X80" s="423"/>
      <c r="Y80" s="423"/>
      <c r="Z80" s="423"/>
      <c r="AA80" s="424"/>
      <c r="AB80" s="21"/>
      <c r="AC80" s="429"/>
      <c r="AD80" s="430"/>
      <c r="AE80" s="370"/>
      <c r="AF80" s="21"/>
      <c r="AG80" s="430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</row>
    <row r="81">
      <c r="A81" s="427">
        <f>IFERROR(__xludf.DUMMYFUNCTION("""COMPUTED_VALUE"""),342.0)</f>
        <v>342</v>
      </c>
      <c r="B81" s="418" t="str">
        <f>IFERROR(__xludf.DUMMYFUNCTION("""COMPUTED_VALUE"""),"Uber")</f>
        <v>Uber</v>
      </c>
      <c r="C81" s="419" t="str">
        <f>IFERROR(__xludf.DUMMYFUNCTION("IF(ISBLANK($B81),"""",query('Saída'!$K$3:$R$505,""Select R where N = '""&amp;$B81&amp;""' and K = ""&amp;$A81,0))"),"Nubank")</f>
        <v>Nubank</v>
      </c>
      <c r="D81" s="420"/>
      <c r="E81" s="421">
        <f>IFERROR(__xludf.DUMMYFUNCTION("if(isblank($B81),"""",split(rept(0&amp;""-"",month(query('Saída'!$J$3:$R$505,""Select M where N = '""&amp;$B81&amp;""' and K = ""&amp;$A81,0))-1)&amp;rept(query('Saída'!$J$3:$R$505,""Select Q where N = '""&amp;$B81&amp;""' and K = ""&amp;$A81,0)&amp;""-"",query('Saída'!$J$3:$R$505,""Select "&amp;"P where N = '""&amp;$B81&amp;""' and K = ""&amp;$A81,0)),""-""))"),0.0)</f>
        <v>0</v>
      </c>
      <c r="F81" s="423">
        <f>IFERROR(__xludf.DUMMYFUNCTION("""COMPUTED_VALUE"""),0.0)</f>
        <v>0</v>
      </c>
      <c r="G81" s="423">
        <f>IFERROR(__xludf.DUMMYFUNCTION("""COMPUTED_VALUE"""),0.0)</f>
        <v>0</v>
      </c>
      <c r="H81" s="423">
        <f>IFERROR(__xludf.DUMMYFUNCTION("""COMPUTED_VALUE"""),0.0)</f>
        <v>0</v>
      </c>
      <c r="I81" s="423">
        <f>IFERROR(__xludf.DUMMYFUNCTION("""COMPUTED_VALUE"""),0.0)</f>
        <v>0</v>
      </c>
      <c r="J81" s="423">
        <f>IFERROR(__xludf.DUMMYFUNCTION("""COMPUTED_VALUE"""),0.0)</f>
        <v>0</v>
      </c>
      <c r="K81" s="423">
        <f>IFERROR(__xludf.DUMMYFUNCTION("""COMPUTED_VALUE"""),0.0)</f>
        <v>0</v>
      </c>
      <c r="L81" s="423">
        <f>IFERROR(__xludf.DUMMYFUNCTION("""COMPUTED_VALUE"""),0.0)</f>
        <v>0</v>
      </c>
      <c r="M81" s="423">
        <f>IFERROR(__xludf.DUMMYFUNCTION("""COMPUTED_VALUE"""),8.91)</f>
        <v>8.91</v>
      </c>
      <c r="N81" s="423"/>
      <c r="O81" s="423"/>
      <c r="P81" s="423"/>
      <c r="Q81" s="423"/>
      <c r="R81" s="423"/>
      <c r="S81" s="423"/>
      <c r="T81" s="423"/>
      <c r="U81" s="423"/>
      <c r="V81" s="423"/>
      <c r="W81" s="423"/>
      <c r="X81" s="423"/>
      <c r="Y81" s="423"/>
      <c r="Z81" s="423"/>
      <c r="AA81" s="424"/>
      <c r="AB81" s="21"/>
      <c r="AC81" s="429"/>
      <c r="AD81" s="430"/>
      <c r="AE81" s="370"/>
      <c r="AF81" s="21"/>
      <c r="AG81" s="430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</row>
    <row r="82">
      <c r="A82" s="427">
        <f>IFERROR(__xludf.DUMMYFUNCTION("""COMPUTED_VALUE"""),370.0)</f>
        <v>370</v>
      </c>
      <c r="B82" s="418" t="str">
        <f>IFERROR(__xludf.DUMMYFUNCTION("""COMPUTED_VALUE"""),"Carrefour")</f>
        <v>Carrefour</v>
      </c>
      <c r="C82" s="419" t="str">
        <f>IFERROR(__xludf.DUMMYFUNCTION("IF(ISBLANK($B82),"""",query('Saída'!$K$3:$R$505,""Select R where N = '""&amp;$B82&amp;""' and K = ""&amp;$A82,0))"),"Carrefour")</f>
        <v>Carrefour</v>
      </c>
      <c r="D82" s="420"/>
      <c r="E82" s="421">
        <f>IFERROR(__xludf.DUMMYFUNCTION("if(isblank($B82),"""",split(rept(0&amp;""-"",month(query('Saída'!$J$3:$R$505,""Select M where N = '""&amp;$B82&amp;""' and K = ""&amp;$A82,0))-1)&amp;rept(query('Saída'!$J$3:$R$505,""Select Q where N = '""&amp;$B82&amp;""' and K = ""&amp;$A82,0)&amp;""-"",query('Saída'!$J$3:$R$505,""Select "&amp;"P where N = '""&amp;$B82&amp;""' and K = ""&amp;$A82,0)),""-""))"),0.0)</f>
        <v>0</v>
      </c>
      <c r="F82" s="423">
        <f>IFERROR(__xludf.DUMMYFUNCTION("""COMPUTED_VALUE"""),0.0)</f>
        <v>0</v>
      </c>
      <c r="G82" s="423">
        <f>IFERROR(__xludf.DUMMYFUNCTION("""COMPUTED_VALUE"""),0.0)</f>
        <v>0</v>
      </c>
      <c r="H82" s="423">
        <f>IFERROR(__xludf.DUMMYFUNCTION("""COMPUTED_VALUE"""),0.0)</f>
        <v>0</v>
      </c>
      <c r="I82" s="423">
        <f>IFERROR(__xludf.DUMMYFUNCTION("""COMPUTED_VALUE"""),0.0)</f>
        <v>0</v>
      </c>
      <c r="J82" s="423">
        <f>IFERROR(__xludf.DUMMYFUNCTION("""COMPUTED_VALUE"""),0.0)</f>
        <v>0</v>
      </c>
      <c r="K82" s="423">
        <f>IFERROR(__xludf.DUMMYFUNCTION("""COMPUTED_VALUE"""),0.0)</f>
        <v>0</v>
      </c>
      <c r="L82" s="423">
        <f>IFERROR(__xludf.DUMMYFUNCTION("""COMPUTED_VALUE"""),0.0)</f>
        <v>0</v>
      </c>
      <c r="M82" s="423">
        <f>IFERROR(__xludf.DUMMYFUNCTION("""COMPUTED_VALUE"""),0.0)</f>
        <v>0</v>
      </c>
      <c r="N82" s="423">
        <f>IFERROR(__xludf.DUMMYFUNCTION("""COMPUTED_VALUE"""),34.4)</f>
        <v>34.4</v>
      </c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4"/>
      <c r="AB82" s="21"/>
      <c r="AC82" s="429"/>
      <c r="AD82" s="430"/>
      <c r="AE82" s="370"/>
      <c r="AF82" s="21"/>
      <c r="AG82" s="430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</row>
    <row r="83">
      <c r="A83" s="427">
        <f>IFERROR(__xludf.DUMMYFUNCTION("""COMPUTED_VALUE"""),371.0)</f>
        <v>371</v>
      </c>
      <c r="B83" s="418" t="str">
        <f>IFERROR(__xludf.DUMMYFUNCTION("""COMPUTED_VALUE"""),"Carrefour")</f>
        <v>Carrefour</v>
      </c>
      <c r="C83" s="419" t="str">
        <f>IFERROR(__xludf.DUMMYFUNCTION("IF(ISBLANK($B83),"""",query('Saída'!$K$3:$R$505,""Select R where N = '""&amp;$B83&amp;""' and K = ""&amp;$A83,0))"),"Carrefour")</f>
        <v>Carrefour</v>
      </c>
      <c r="D83" s="420"/>
      <c r="E83" s="421">
        <f>IFERROR(__xludf.DUMMYFUNCTION("if(isblank($B83),"""",split(rept(0&amp;""-"",month(query('Saída'!$J$3:$R$505,""Select M where N = '""&amp;$B83&amp;""' and K = ""&amp;$A83,0))-1)&amp;rept(query('Saída'!$J$3:$R$505,""Select Q where N = '""&amp;$B83&amp;""' and K = ""&amp;$A83,0)&amp;""-"",query('Saída'!$J$3:$R$505,""Select "&amp;"P where N = '""&amp;$B83&amp;""' and K = ""&amp;$A83,0)),""-""))"),0.0)</f>
        <v>0</v>
      </c>
      <c r="F83" s="423">
        <f>IFERROR(__xludf.DUMMYFUNCTION("""COMPUTED_VALUE"""),0.0)</f>
        <v>0</v>
      </c>
      <c r="G83" s="423">
        <f>IFERROR(__xludf.DUMMYFUNCTION("""COMPUTED_VALUE"""),0.0)</f>
        <v>0</v>
      </c>
      <c r="H83" s="423">
        <f>IFERROR(__xludf.DUMMYFUNCTION("""COMPUTED_VALUE"""),0.0)</f>
        <v>0</v>
      </c>
      <c r="I83" s="423">
        <f>IFERROR(__xludf.DUMMYFUNCTION("""COMPUTED_VALUE"""),0.0)</f>
        <v>0</v>
      </c>
      <c r="J83" s="423">
        <f>IFERROR(__xludf.DUMMYFUNCTION("""COMPUTED_VALUE"""),0.0)</f>
        <v>0</v>
      </c>
      <c r="K83" s="423">
        <f>IFERROR(__xludf.DUMMYFUNCTION("""COMPUTED_VALUE"""),0.0)</f>
        <v>0</v>
      </c>
      <c r="L83" s="423">
        <f>IFERROR(__xludf.DUMMYFUNCTION("""COMPUTED_VALUE"""),0.0)</f>
        <v>0</v>
      </c>
      <c r="M83" s="423">
        <f>IFERROR(__xludf.DUMMYFUNCTION("""COMPUTED_VALUE"""),0.0)</f>
        <v>0</v>
      </c>
      <c r="N83" s="423">
        <f>IFERROR(__xludf.DUMMYFUNCTION("""COMPUTED_VALUE"""),2.69)</f>
        <v>2.69</v>
      </c>
      <c r="O83" s="423"/>
      <c r="P83" s="423"/>
      <c r="Q83" s="423"/>
      <c r="R83" s="423"/>
      <c r="S83" s="423"/>
      <c r="T83" s="423"/>
      <c r="U83" s="423"/>
      <c r="V83" s="423"/>
      <c r="W83" s="423"/>
      <c r="X83" s="423"/>
      <c r="Y83" s="423"/>
      <c r="Z83" s="423"/>
      <c r="AA83" s="424"/>
      <c r="AB83" s="21"/>
      <c r="AC83" s="429"/>
      <c r="AD83" s="430"/>
      <c r="AE83" s="370"/>
      <c r="AF83" s="21"/>
      <c r="AG83" s="430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</row>
    <row r="84">
      <c r="A84" s="427">
        <f>IFERROR(__xludf.DUMMYFUNCTION("""COMPUTED_VALUE"""),372.0)</f>
        <v>372</v>
      </c>
      <c r="B84" s="418" t="str">
        <f>IFERROR(__xludf.DUMMYFUNCTION("""COMPUTED_VALUE"""),"Uber")</f>
        <v>Uber</v>
      </c>
      <c r="C84" s="419" t="str">
        <f>IFERROR(__xludf.DUMMYFUNCTION("IF(ISBLANK($B84),"""",query('Saída'!$K$3:$R$505,""Select R where N = '""&amp;$B84&amp;""' and K = ""&amp;$A84,0))"),"Nubank")</f>
        <v>Nubank</v>
      </c>
      <c r="D84" s="420"/>
      <c r="E84" s="421">
        <f>IFERROR(__xludf.DUMMYFUNCTION("if(isblank($B84),"""",split(rept(0&amp;""-"",month(query('Saída'!$J$3:$R$505,""Select M where N = '""&amp;$B84&amp;""' and K = ""&amp;$A84,0))-1)&amp;rept(query('Saída'!$J$3:$R$505,""Select Q where N = '""&amp;$B84&amp;""' and K = ""&amp;$A84,0)&amp;""-"",query('Saída'!$J$3:$R$505,""Select "&amp;"P where N = '""&amp;$B84&amp;""' and K = ""&amp;$A84,0)),""-""))"),0.0)</f>
        <v>0</v>
      </c>
      <c r="F84" s="423">
        <f>IFERROR(__xludf.DUMMYFUNCTION("""COMPUTED_VALUE"""),0.0)</f>
        <v>0</v>
      </c>
      <c r="G84" s="423">
        <f>IFERROR(__xludf.DUMMYFUNCTION("""COMPUTED_VALUE"""),0.0)</f>
        <v>0</v>
      </c>
      <c r="H84" s="423">
        <f>IFERROR(__xludf.DUMMYFUNCTION("""COMPUTED_VALUE"""),0.0)</f>
        <v>0</v>
      </c>
      <c r="I84" s="423">
        <f>IFERROR(__xludf.DUMMYFUNCTION("""COMPUTED_VALUE"""),0.0)</f>
        <v>0</v>
      </c>
      <c r="J84" s="423">
        <f>IFERROR(__xludf.DUMMYFUNCTION("""COMPUTED_VALUE"""),0.0)</f>
        <v>0</v>
      </c>
      <c r="K84" s="423">
        <f>IFERROR(__xludf.DUMMYFUNCTION("""COMPUTED_VALUE"""),0.0)</f>
        <v>0</v>
      </c>
      <c r="L84" s="423">
        <f>IFERROR(__xludf.DUMMYFUNCTION("""COMPUTED_VALUE"""),0.0)</f>
        <v>0</v>
      </c>
      <c r="M84" s="423">
        <f>IFERROR(__xludf.DUMMYFUNCTION("""COMPUTED_VALUE"""),0.0)</f>
        <v>0</v>
      </c>
      <c r="N84" s="423">
        <f>IFERROR(__xludf.DUMMYFUNCTION("""COMPUTED_VALUE"""),19.96)</f>
        <v>19.96</v>
      </c>
      <c r="O84" s="423"/>
      <c r="P84" s="423"/>
      <c r="Q84" s="423"/>
      <c r="R84" s="423"/>
      <c r="S84" s="423"/>
      <c r="T84" s="423"/>
      <c r="U84" s="423"/>
      <c r="V84" s="423"/>
      <c r="W84" s="423"/>
      <c r="X84" s="423"/>
      <c r="Y84" s="423"/>
      <c r="Z84" s="423"/>
      <c r="AA84" s="424"/>
      <c r="AB84" s="21"/>
      <c r="AC84" s="429"/>
      <c r="AD84" s="430"/>
      <c r="AE84" s="370"/>
      <c r="AF84" s="21"/>
      <c r="AG84" s="430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</row>
    <row r="85">
      <c r="A85" s="427">
        <f>IFERROR(__xludf.DUMMYFUNCTION("""COMPUTED_VALUE"""),373.0)</f>
        <v>373</v>
      </c>
      <c r="B85" s="418" t="str">
        <f>IFERROR(__xludf.DUMMYFUNCTION("""COMPUTED_VALUE"""),"Mineirão")</f>
        <v>Mineirão</v>
      </c>
      <c r="C85" s="419" t="str">
        <f>IFERROR(__xludf.DUMMYFUNCTION("IF(ISBLANK($B85),"""",query('Saída'!$K$3:$R$505,""Select R where N = '""&amp;$B85&amp;""' and K = ""&amp;$A85,0))"),"Carrefour")</f>
        <v>Carrefour</v>
      </c>
      <c r="D85" s="420"/>
      <c r="E85" s="421">
        <f>IFERROR(__xludf.DUMMYFUNCTION("if(isblank($B85),"""",split(rept(0&amp;""-"",month(query('Saída'!$J$3:$R$505,""Select M where N = '""&amp;$B85&amp;""' and K = ""&amp;$A85,0))-1)&amp;rept(query('Saída'!$J$3:$R$505,""Select Q where N = '""&amp;$B85&amp;""' and K = ""&amp;$A85,0)&amp;""-"",query('Saída'!$J$3:$R$505,""Select "&amp;"P where N = '""&amp;$B85&amp;""' and K = ""&amp;$A85,0)),""-""))"),0.0)</f>
        <v>0</v>
      </c>
      <c r="F85" s="423">
        <f>IFERROR(__xludf.DUMMYFUNCTION("""COMPUTED_VALUE"""),0.0)</f>
        <v>0</v>
      </c>
      <c r="G85" s="423">
        <f>IFERROR(__xludf.DUMMYFUNCTION("""COMPUTED_VALUE"""),0.0)</f>
        <v>0</v>
      </c>
      <c r="H85" s="423">
        <f>IFERROR(__xludf.DUMMYFUNCTION("""COMPUTED_VALUE"""),0.0)</f>
        <v>0</v>
      </c>
      <c r="I85" s="423">
        <f>IFERROR(__xludf.DUMMYFUNCTION("""COMPUTED_VALUE"""),0.0)</f>
        <v>0</v>
      </c>
      <c r="J85" s="423">
        <f>IFERROR(__xludf.DUMMYFUNCTION("""COMPUTED_VALUE"""),0.0)</f>
        <v>0</v>
      </c>
      <c r="K85" s="423">
        <f>IFERROR(__xludf.DUMMYFUNCTION("""COMPUTED_VALUE"""),0.0)</f>
        <v>0</v>
      </c>
      <c r="L85" s="423">
        <f>IFERROR(__xludf.DUMMYFUNCTION("""COMPUTED_VALUE"""),0.0)</f>
        <v>0</v>
      </c>
      <c r="M85" s="423">
        <f>IFERROR(__xludf.DUMMYFUNCTION("""COMPUTED_VALUE"""),0.0)</f>
        <v>0</v>
      </c>
      <c r="N85" s="423">
        <f>IFERROR(__xludf.DUMMYFUNCTION("""COMPUTED_VALUE"""),196.56)</f>
        <v>196.56</v>
      </c>
      <c r="O85" s="423"/>
      <c r="P85" s="423"/>
      <c r="Q85" s="423"/>
      <c r="R85" s="423"/>
      <c r="S85" s="423"/>
      <c r="T85" s="423"/>
      <c r="U85" s="423"/>
      <c r="V85" s="423"/>
      <c r="W85" s="423"/>
      <c r="X85" s="423"/>
      <c r="Y85" s="423"/>
      <c r="Z85" s="423"/>
      <c r="AA85" s="424"/>
      <c r="AB85" s="21"/>
      <c r="AC85" s="429"/>
      <c r="AD85" s="430"/>
      <c r="AE85" s="370"/>
      <c r="AF85" s="21"/>
      <c r="AG85" s="430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</row>
    <row r="86">
      <c r="A86" s="427">
        <f>IFERROR(__xludf.DUMMYFUNCTION("""COMPUTED_VALUE"""),374.0)</f>
        <v>374</v>
      </c>
      <c r="B86" s="418" t="str">
        <f>IFERROR(__xludf.DUMMYFUNCTION("""COMPUTED_VALUE"""),"Gasolina")</f>
        <v>Gasolina</v>
      </c>
      <c r="C86" s="419" t="str">
        <f>IFERROR(__xludf.DUMMYFUNCTION("IF(ISBLANK($B86),"""",query('Saída'!$K$3:$R$505,""Select R where N = '""&amp;$B86&amp;""' and K = ""&amp;$A86,0))"),"Credicard")</f>
        <v>Credicard</v>
      </c>
      <c r="D86" s="420"/>
      <c r="E86" s="421">
        <f>IFERROR(__xludf.DUMMYFUNCTION("if(isblank($B86),"""",split(rept(0&amp;""-"",month(query('Saída'!$J$3:$R$505,""Select M where N = '""&amp;$B86&amp;""' and K = ""&amp;$A86,0))-1)&amp;rept(query('Saída'!$J$3:$R$505,""Select Q where N = '""&amp;$B86&amp;""' and K = ""&amp;$A86,0)&amp;""-"",query('Saída'!$J$3:$R$505,""Select "&amp;"P where N = '""&amp;$B86&amp;""' and K = ""&amp;$A86,0)),""-""))"),0.0)</f>
        <v>0</v>
      </c>
      <c r="F86" s="423">
        <f>IFERROR(__xludf.DUMMYFUNCTION("""COMPUTED_VALUE"""),0.0)</f>
        <v>0</v>
      </c>
      <c r="G86" s="423">
        <f>IFERROR(__xludf.DUMMYFUNCTION("""COMPUTED_VALUE"""),0.0)</f>
        <v>0</v>
      </c>
      <c r="H86" s="423">
        <f>IFERROR(__xludf.DUMMYFUNCTION("""COMPUTED_VALUE"""),0.0)</f>
        <v>0</v>
      </c>
      <c r="I86" s="423">
        <f>IFERROR(__xludf.DUMMYFUNCTION("""COMPUTED_VALUE"""),0.0)</f>
        <v>0</v>
      </c>
      <c r="J86" s="423">
        <f>IFERROR(__xludf.DUMMYFUNCTION("""COMPUTED_VALUE"""),0.0)</f>
        <v>0</v>
      </c>
      <c r="K86" s="423">
        <f>IFERROR(__xludf.DUMMYFUNCTION("""COMPUTED_VALUE"""),0.0)</f>
        <v>0</v>
      </c>
      <c r="L86" s="423">
        <f>IFERROR(__xludf.DUMMYFUNCTION("""COMPUTED_VALUE"""),0.0)</f>
        <v>0</v>
      </c>
      <c r="M86" s="423">
        <f>IFERROR(__xludf.DUMMYFUNCTION("""COMPUTED_VALUE"""),0.0)</f>
        <v>0</v>
      </c>
      <c r="N86" s="423">
        <f>IFERROR(__xludf.DUMMYFUNCTION("""COMPUTED_VALUE"""),100.0)</f>
        <v>100</v>
      </c>
      <c r="O86" s="423"/>
      <c r="P86" s="423"/>
      <c r="Q86" s="423"/>
      <c r="R86" s="423"/>
      <c r="S86" s="423"/>
      <c r="T86" s="423"/>
      <c r="U86" s="423"/>
      <c r="V86" s="423"/>
      <c r="W86" s="423"/>
      <c r="X86" s="423"/>
      <c r="Y86" s="423"/>
      <c r="Z86" s="423"/>
      <c r="AA86" s="424"/>
      <c r="AB86" s="21"/>
      <c r="AC86" s="429"/>
      <c r="AD86" s="430"/>
      <c r="AE86" s="370"/>
      <c r="AF86" s="21"/>
      <c r="AG86" s="430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</row>
    <row r="87">
      <c r="A87" s="427">
        <f>IFERROR(__xludf.DUMMYFUNCTION("""COMPUTED_VALUE"""),375.0)</f>
        <v>375</v>
      </c>
      <c r="B87" s="418" t="str">
        <f>IFERROR(__xludf.DUMMYFUNCTION("""COMPUTED_VALUE"""),"Remédio")</f>
        <v>Remédio</v>
      </c>
      <c r="C87" s="419" t="str">
        <f>IFERROR(__xludf.DUMMYFUNCTION("IF(ISBLANK($B87),"""",query('Saída'!$K$3:$R$505,""Select R where N = '""&amp;$B87&amp;""' and K = ""&amp;$A87,0))"),"Credicard")</f>
        <v>Credicard</v>
      </c>
      <c r="D87" s="420"/>
      <c r="E87" s="421">
        <f>IFERROR(__xludf.DUMMYFUNCTION("if(isblank($B87),"""",split(rept(0&amp;""-"",month(query('Saída'!$J$3:$R$505,""Select M where N = '""&amp;$B87&amp;""' and K = ""&amp;$A87,0))-1)&amp;rept(query('Saída'!$J$3:$R$505,""Select Q where N = '""&amp;$B87&amp;""' and K = ""&amp;$A87,0)&amp;""-"",query('Saída'!$J$3:$R$505,""Select "&amp;"P where N = '""&amp;$B87&amp;""' and K = ""&amp;$A87,0)),""-""))"),0.0)</f>
        <v>0</v>
      </c>
      <c r="F87" s="423">
        <f>IFERROR(__xludf.DUMMYFUNCTION("""COMPUTED_VALUE"""),0.0)</f>
        <v>0</v>
      </c>
      <c r="G87" s="423">
        <f>IFERROR(__xludf.DUMMYFUNCTION("""COMPUTED_VALUE"""),0.0)</f>
        <v>0</v>
      </c>
      <c r="H87" s="423">
        <f>IFERROR(__xludf.DUMMYFUNCTION("""COMPUTED_VALUE"""),0.0)</f>
        <v>0</v>
      </c>
      <c r="I87" s="423">
        <f>IFERROR(__xludf.DUMMYFUNCTION("""COMPUTED_VALUE"""),0.0)</f>
        <v>0</v>
      </c>
      <c r="J87" s="423">
        <f>IFERROR(__xludf.DUMMYFUNCTION("""COMPUTED_VALUE"""),0.0)</f>
        <v>0</v>
      </c>
      <c r="K87" s="423">
        <f>IFERROR(__xludf.DUMMYFUNCTION("""COMPUTED_VALUE"""),0.0)</f>
        <v>0</v>
      </c>
      <c r="L87" s="423">
        <f>IFERROR(__xludf.DUMMYFUNCTION("""COMPUTED_VALUE"""),0.0)</f>
        <v>0</v>
      </c>
      <c r="M87" s="423">
        <f>IFERROR(__xludf.DUMMYFUNCTION("""COMPUTED_VALUE"""),0.0)</f>
        <v>0</v>
      </c>
      <c r="N87" s="423">
        <f>IFERROR(__xludf.DUMMYFUNCTION("""COMPUTED_VALUE"""),52.0)</f>
        <v>52</v>
      </c>
      <c r="O87" s="423"/>
      <c r="P87" s="423"/>
      <c r="Q87" s="423"/>
      <c r="R87" s="423"/>
      <c r="S87" s="423"/>
      <c r="T87" s="423"/>
      <c r="U87" s="423"/>
      <c r="V87" s="423"/>
      <c r="W87" s="423"/>
      <c r="X87" s="423"/>
      <c r="Y87" s="423"/>
      <c r="Z87" s="423"/>
      <c r="AA87" s="424"/>
      <c r="AB87" s="21"/>
      <c r="AC87" s="429"/>
      <c r="AD87" s="430"/>
      <c r="AE87" s="370"/>
      <c r="AF87" s="21"/>
      <c r="AG87" s="430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</row>
    <row r="88">
      <c r="A88" s="427">
        <f>IFERROR(__xludf.DUMMYFUNCTION("""COMPUTED_VALUE"""),376.0)</f>
        <v>376</v>
      </c>
      <c r="B88" s="418" t="str">
        <f>IFERROR(__xludf.DUMMYFUNCTION("""COMPUTED_VALUE"""),"Mada 2022")</f>
        <v>Mada 2022</v>
      </c>
      <c r="C88" s="419" t="str">
        <f>IFERROR(__xludf.DUMMYFUNCTION("IF(ISBLANK($B88),"""",query('Saída'!$K$3:$R$505,""Select R where N = '""&amp;$B88&amp;""' and K = ""&amp;$A88,0))"),"Nubank")</f>
        <v>Nubank</v>
      </c>
      <c r="D88" s="420"/>
      <c r="E88" s="421">
        <f>IFERROR(__xludf.DUMMYFUNCTION("if(isblank($B88),"""",split(rept(0&amp;""-"",month(query('Saída'!$J$3:$R$505,""Select M where N = '""&amp;$B88&amp;""' and K = ""&amp;$A88,0))-1)&amp;rept(query('Saída'!$J$3:$R$505,""Select Q where N = '""&amp;$B88&amp;""' and K = ""&amp;$A88,0)&amp;""-"",query('Saída'!$J$3:$R$505,""Select "&amp;"P where N = '""&amp;$B88&amp;""' and K = ""&amp;$A88,0)),""-""))"),0.0)</f>
        <v>0</v>
      </c>
      <c r="F88" s="423">
        <f>IFERROR(__xludf.DUMMYFUNCTION("""COMPUTED_VALUE"""),0.0)</f>
        <v>0</v>
      </c>
      <c r="G88" s="423">
        <f>IFERROR(__xludf.DUMMYFUNCTION("""COMPUTED_VALUE"""),0.0)</f>
        <v>0</v>
      </c>
      <c r="H88" s="423">
        <f>IFERROR(__xludf.DUMMYFUNCTION("""COMPUTED_VALUE"""),0.0)</f>
        <v>0</v>
      </c>
      <c r="I88" s="423">
        <f>IFERROR(__xludf.DUMMYFUNCTION("""COMPUTED_VALUE"""),0.0)</f>
        <v>0</v>
      </c>
      <c r="J88" s="423">
        <f>IFERROR(__xludf.DUMMYFUNCTION("""COMPUTED_VALUE"""),0.0)</f>
        <v>0</v>
      </c>
      <c r="K88" s="423">
        <f>IFERROR(__xludf.DUMMYFUNCTION("""COMPUTED_VALUE"""),0.0)</f>
        <v>0</v>
      </c>
      <c r="L88" s="423">
        <f>IFERROR(__xludf.DUMMYFUNCTION("""COMPUTED_VALUE"""),0.0)</f>
        <v>0</v>
      </c>
      <c r="M88" s="423">
        <f>IFERROR(__xludf.DUMMYFUNCTION("""COMPUTED_VALUE"""),0.0)</f>
        <v>0</v>
      </c>
      <c r="N88" s="423">
        <f>IFERROR(__xludf.DUMMYFUNCTION("""COMPUTED_VALUE"""),115.79)</f>
        <v>115.79</v>
      </c>
      <c r="O88" s="423">
        <f>IFERROR(__xludf.DUMMYFUNCTION("""COMPUTED_VALUE"""),115.79)</f>
        <v>115.79</v>
      </c>
      <c r="P88" s="423"/>
      <c r="Q88" s="423"/>
      <c r="R88" s="423"/>
      <c r="S88" s="423"/>
      <c r="T88" s="423"/>
      <c r="U88" s="423"/>
      <c r="V88" s="423"/>
      <c r="W88" s="423"/>
      <c r="X88" s="423"/>
      <c r="Y88" s="423"/>
      <c r="Z88" s="423"/>
      <c r="AA88" s="424"/>
      <c r="AB88" s="21"/>
      <c r="AC88" s="429"/>
      <c r="AD88" s="430"/>
      <c r="AE88" s="370"/>
      <c r="AF88" s="21"/>
      <c r="AG88" s="430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</row>
    <row r="89">
      <c r="A89" s="427">
        <f>IFERROR(__xludf.DUMMYFUNCTION("""COMPUTED_VALUE"""),377.0)</f>
        <v>377</v>
      </c>
      <c r="B89" s="418" t="str">
        <f>IFERROR(__xludf.DUMMYFUNCTION("""COMPUTED_VALUE"""),"Carrefour")</f>
        <v>Carrefour</v>
      </c>
      <c r="C89" s="419" t="str">
        <f>IFERROR(__xludf.DUMMYFUNCTION("IF(ISBLANK($B89),"""",query('Saída'!$K$3:$R$505,""Select R where N = '""&amp;$B89&amp;""' and K = ""&amp;$A89,0))"),"Carrefour")</f>
        <v>Carrefour</v>
      </c>
      <c r="D89" s="420"/>
      <c r="E89" s="421">
        <f>IFERROR(__xludf.DUMMYFUNCTION("if(isblank($B89),"""",split(rept(0&amp;""-"",month(query('Saída'!$J$3:$R$505,""Select M where N = '""&amp;$B89&amp;""' and K = ""&amp;$A89,0))-1)&amp;rept(query('Saída'!$J$3:$R$505,""Select Q where N = '""&amp;$B89&amp;""' and K = ""&amp;$A89,0)&amp;""-"",query('Saída'!$J$3:$R$505,""Select "&amp;"P where N = '""&amp;$B89&amp;""' and K = ""&amp;$A89,0)),""-""))"),0.0)</f>
        <v>0</v>
      </c>
      <c r="F89" s="423">
        <f>IFERROR(__xludf.DUMMYFUNCTION("""COMPUTED_VALUE"""),0.0)</f>
        <v>0</v>
      </c>
      <c r="G89" s="423">
        <f>IFERROR(__xludf.DUMMYFUNCTION("""COMPUTED_VALUE"""),0.0)</f>
        <v>0</v>
      </c>
      <c r="H89" s="423">
        <f>IFERROR(__xludf.DUMMYFUNCTION("""COMPUTED_VALUE"""),0.0)</f>
        <v>0</v>
      </c>
      <c r="I89" s="423">
        <f>IFERROR(__xludf.DUMMYFUNCTION("""COMPUTED_VALUE"""),0.0)</f>
        <v>0</v>
      </c>
      <c r="J89" s="423">
        <f>IFERROR(__xludf.DUMMYFUNCTION("""COMPUTED_VALUE"""),0.0)</f>
        <v>0</v>
      </c>
      <c r="K89" s="423">
        <f>IFERROR(__xludf.DUMMYFUNCTION("""COMPUTED_VALUE"""),0.0)</f>
        <v>0</v>
      </c>
      <c r="L89" s="423">
        <f>IFERROR(__xludf.DUMMYFUNCTION("""COMPUTED_VALUE"""),0.0)</f>
        <v>0</v>
      </c>
      <c r="M89" s="423">
        <f>IFERROR(__xludf.DUMMYFUNCTION("""COMPUTED_VALUE"""),0.0)</f>
        <v>0</v>
      </c>
      <c r="N89" s="423">
        <f>IFERROR(__xludf.DUMMYFUNCTION("""COMPUTED_VALUE"""),37.52)</f>
        <v>37.52</v>
      </c>
      <c r="O89" s="423"/>
      <c r="P89" s="423"/>
      <c r="Q89" s="423"/>
      <c r="R89" s="423"/>
      <c r="S89" s="423"/>
      <c r="T89" s="423"/>
      <c r="U89" s="423"/>
      <c r="V89" s="423"/>
      <c r="W89" s="423"/>
      <c r="X89" s="423"/>
      <c r="Y89" s="423"/>
      <c r="Z89" s="423"/>
      <c r="AA89" s="424"/>
      <c r="AB89" s="21"/>
      <c r="AC89" s="429"/>
      <c r="AD89" s="430"/>
      <c r="AE89" s="370"/>
      <c r="AF89" s="21"/>
      <c r="AG89" s="430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</row>
    <row r="90">
      <c r="A90" s="427">
        <f>IFERROR(__xludf.DUMMYFUNCTION("""COMPUTED_VALUE"""),378.0)</f>
        <v>378</v>
      </c>
      <c r="B90" s="418" t="str">
        <f>IFERROR(__xludf.DUMMYFUNCTION("""COMPUTED_VALUE"""),"Uber")</f>
        <v>Uber</v>
      </c>
      <c r="C90" s="419" t="str">
        <f>IFERROR(__xludf.DUMMYFUNCTION("IF(ISBLANK($B90),"""",query('Saída'!$K$3:$R$505,""Select R where N = '""&amp;$B90&amp;""' and K = ""&amp;$A90,0))"),"Nubank")</f>
        <v>Nubank</v>
      </c>
      <c r="D90" s="420"/>
      <c r="E90" s="421">
        <f>IFERROR(__xludf.DUMMYFUNCTION("if(isblank($B90),"""",split(rept(0&amp;""-"",month(query('Saída'!$J$3:$R$505,""Select M where N = '""&amp;$B90&amp;""' and K = ""&amp;$A90,0))-1)&amp;rept(query('Saída'!$J$3:$R$505,""Select Q where N = '""&amp;$B90&amp;""' and K = ""&amp;$A90,0)&amp;""-"",query('Saída'!$J$3:$R$505,""Select "&amp;"P where N = '""&amp;$B90&amp;""' and K = ""&amp;$A90,0)),""-""))"),0.0)</f>
        <v>0</v>
      </c>
      <c r="F90" s="423">
        <f>IFERROR(__xludf.DUMMYFUNCTION("""COMPUTED_VALUE"""),0.0)</f>
        <v>0</v>
      </c>
      <c r="G90" s="423">
        <f>IFERROR(__xludf.DUMMYFUNCTION("""COMPUTED_VALUE"""),0.0)</f>
        <v>0</v>
      </c>
      <c r="H90" s="423">
        <f>IFERROR(__xludf.DUMMYFUNCTION("""COMPUTED_VALUE"""),0.0)</f>
        <v>0</v>
      </c>
      <c r="I90" s="423">
        <f>IFERROR(__xludf.DUMMYFUNCTION("""COMPUTED_VALUE"""),0.0)</f>
        <v>0</v>
      </c>
      <c r="J90" s="423">
        <f>IFERROR(__xludf.DUMMYFUNCTION("""COMPUTED_VALUE"""),0.0)</f>
        <v>0</v>
      </c>
      <c r="K90" s="423">
        <f>IFERROR(__xludf.DUMMYFUNCTION("""COMPUTED_VALUE"""),0.0)</f>
        <v>0</v>
      </c>
      <c r="L90" s="423">
        <f>IFERROR(__xludf.DUMMYFUNCTION("""COMPUTED_VALUE"""),0.0)</f>
        <v>0</v>
      </c>
      <c r="M90" s="423">
        <f>IFERROR(__xludf.DUMMYFUNCTION("""COMPUTED_VALUE"""),0.0)</f>
        <v>0</v>
      </c>
      <c r="N90" s="423">
        <f>IFERROR(__xludf.DUMMYFUNCTION("""COMPUTED_VALUE"""),14.98)</f>
        <v>14.98</v>
      </c>
      <c r="O90" s="423"/>
      <c r="P90" s="423"/>
      <c r="Q90" s="423"/>
      <c r="R90" s="423"/>
      <c r="S90" s="423"/>
      <c r="T90" s="423"/>
      <c r="U90" s="423"/>
      <c r="V90" s="423"/>
      <c r="W90" s="423"/>
      <c r="X90" s="423"/>
      <c r="Y90" s="423"/>
      <c r="Z90" s="423"/>
      <c r="AA90" s="424"/>
      <c r="AB90" s="21"/>
      <c r="AC90" s="429"/>
      <c r="AD90" s="430"/>
      <c r="AE90" s="370"/>
      <c r="AF90" s="21"/>
      <c r="AG90" s="430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</row>
    <row r="91">
      <c r="A91" s="427">
        <f>IFERROR(__xludf.DUMMYFUNCTION("""COMPUTED_VALUE"""),379.0)</f>
        <v>379</v>
      </c>
      <c r="B91" s="418" t="str">
        <f>IFERROR(__xludf.DUMMYFUNCTION("""COMPUTED_VALUE"""),"Uber")</f>
        <v>Uber</v>
      </c>
      <c r="C91" s="419" t="str">
        <f>IFERROR(__xludf.DUMMYFUNCTION("IF(ISBLANK($B91),"""",query('Saída'!$K$3:$R$505,""Select R where N = '""&amp;$B91&amp;""' and K = ""&amp;$A91,0))"),"Nubank")</f>
        <v>Nubank</v>
      </c>
      <c r="D91" s="420"/>
      <c r="E91" s="421">
        <f>IFERROR(__xludf.DUMMYFUNCTION("if(isblank($B91),"""",split(rept(0&amp;""-"",month(query('Saída'!$J$3:$R$505,""Select M where N = '""&amp;$B91&amp;""' and K = ""&amp;$A91,0))-1)&amp;rept(query('Saída'!$J$3:$R$505,""Select Q where N = '""&amp;$B91&amp;""' and K = ""&amp;$A91,0)&amp;""-"",query('Saída'!$J$3:$R$505,""Select "&amp;"P where N = '""&amp;$B91&amp;""' and K = ""&amp;$A91,0)),""-""))"),0.0)</f>
        <v>0</v>
      </c>
      <c r="F91" s="423">
        <f>IFERROR(__xludf.DUMMYFUNCTION("""COMPUTED_VALUE"""),0.0)</f>
        <v>0</v>
      </c>
      <c r="G91" s="423">
        <f>IFERROR(__xludf.DUMMYFUNCTION("""COMPUTED_VALUE"""),0.0)</f>
        <v>0</v>
      </c>
      <c r="H91" s="423">
        <f>IFERROR(__xludf.DUMMYFUNCTION("""COMPUTED_VALUE"""),0.0)</f>
        <v>0</v>
      </c>
      <c r="I91" s="423">
        <f>IFERROR(__xludf.DUMMYFUNCTION("""COMPUTED_VALUE"""),0.0)</f>
        <v>0</v>
      </c>
      <c r="J91" s="423">
        <f>IFERROR(__xludf.DUMMYFUNCTION("""COMPUTED_VALUE"""),0.0)</f>
        <v>0</v>
      </c>
      <c r="K91" s="423">
        <f>IFERROR(__xludf.DUMMYFUNCTION("""COMPUTED_VALUE"""),0.0)</f>
        <v>0</v>
      </c>
      <c r="L91" s="423">
        <f>IFERROR(__xludf.DUMMYFUNCTION("""COMPUTED_VALUE"""),0.0)</f>
        <v>0</v>
      </c>
      <c r="M91" s="423">
        <f>IFERROR(__xludf.DUMMYFUNCTION("""COMPUTED_VALUE"""),0.0)</f>
        <v>0</v>
      </c>
      <c r="N91" s="423">
        <f>IFERROR(__xludf.DUMMYFUNCTION("""COMPUTED_VALUE"""),16.9)</f>
        <v>16.9</v>
      </c>
      <c r="O91" s="423"/>
      <c r="P91" s="423"/>
      <c r="Q91" s="423"/>
      <c r="R91" s="423"/>
      <c r="S91" s="423"/>
      <c r="T91" s="423"/>
      <c r="U91" s="423"/>
      <c r="V91" s="423"/>
      <c r="W91" s="423"/>
      <c r="X91" s="423"/>
      <c r="Y91" s="423"/>
      <c r="Z91" s="423"/>
      <c r="AA91" s="424"/>
      <c r="AB91" s="21"/>
      <c r="AC91" s="429"/>
      <c r="AD91" s="430"/>
      <c r="AE91" s="370"/>
      <c r="AF91" s="21"/>
      <c r="AG91" s="430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</row>
    <row r="92">
      <c r="A92" s="427">
        <f>IFERROR(__xludf.DUMMYFUNCTION("""COMPUTED_VALUE"""),380.0)</f>
        <v>380</v>
      </c>
      <c r="B92" s="418" t="str">
        <f>IFERROR(__xludf.DUMMYFUNCTION("""COMPUTED_VALUE"""),"Uber")</f>
        <v>Uber</v>
      </c>
      <c r="C92" s="419" t="str">
        <f>IFERROR(__xludf.DUMMYFUNCTION("IF(ISBLANK($B92),"""",query('Saída'!$K$3:$R$505,""Select R where N = '""&amp;$B92&amp;""' and K = ""&amp;$A92,0))"),"Nubank")</f>
        <v>Nubank</v>
      </c>
      <c r="D92" s="420"/>
      <c r="E92" s="421">
        <f>IFERROR(__xludf.DUMMYFUNCTION("if(isblank($B92),"""",split(rept(0&amp;""-"",month(query('Saída'!$J$3:$R$505,""Select M where N = '""&amp;$B92&amp;""' and K = ""&amp;$A92,0))-1)&amp;rept(query('Saída'!$J$3:$R$505,""Select Q where N = '""&amp;$B92&amp;""' and K = ""&amp;$A92,0)&amp;""-"",query('Saída'!$J$3:$R$505,""Select "&amp;"P where N = '""&amp;$B92&amp;""' and K = ""&amp;$A92,0)),""-""))"),0.0)</f>
        <v>0</v>
      </c>
      <c r="F92" s="423">
        <f>IFERROR(__xludf.DUMMYFUNCTION("""COMPUTED_VALUE"""),0.0)</f>
        <v>0</v>
      </c>
      <c r="G92" s="423">
        <f>IFERROR(__xludf.DUMMYFUNCTION("""COMPUTED_VALUE"""),0.0)</f>
        <v>0</v>
      </c>
      <c r="H92" s="423">
        <f>IFERROR(__xludf.DUMMYFUNCTION("""COMPUTED_VALUE"""),0.0)</f>
        <v>0</v>
      </c>
      <c r="I92" s="423">
        <f>IFERROR(__xludf.DUMMYFUNCTION("""COMPUTED_VALUE"""),0.0)</f>
        <v>0</v>
      </c>
      <c r="J92" s="423">
        <f>IFERROR(__xludf.DUMMYFUNCTION("""COMPUTED_VALUE"""),0.0)</f>
        <v>0</v>
      </c>
      <c r="K92" s="423">
        <f>IFERROR(__xludf.DUMMYFUNCTION("""COMPUTED_VALUE"""),0.0)</f>
        <v>0</v>
      </c>
      <c r="L92" s="423">
        <f>IFERROR(__xludf.DUMMYFUNCTION("""COMPUTED_VALUE"""),0.0)</f>
        <v>0</v>
      </c>
      <c r="M92" s="423">
        <f>IFERROR(__xludf.DUMMYFUNCTION("""COMPUTED_VALUE"""),0.0)</f>
        <v>0</v>
      </c>
      <c r="N92" s="423">
        <f>IFERROR(__xludf.DUMMYFUNCTION("""COMPUTED_VALUE"""),8.9)</f>
        <v>8.9</v>
      </c>
      <c r="O92" s="423"/>
      <c r="P92" s="423"/>
      <c r="Q92" s="423"/>
      <c r="R92" s="423"/>
      <c r="S92" s="423"/>
      <c r="T92" s="423"/>
      <c r="U92" s="423"/>
      <c r="V92" s="423"/>
      <c r="W92" s="423"/>
      <c r="X92" s="423"/>
      <c r="Y92" s="423"/>
      <c r="Z92" s="423"/>
      <c r="AA92" s="424"/>
      <c r="AB92" s="21"/>
      <c r="AC92" s="429"/>
      <c r="AD92" s="430"/>
      <c r="AE92" s="370"/>
      <c r="AF92" s="21"/>
      <c r="AG92" s="430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</row>
    <row r="93">
      <c r="A93" s="427">
        <f>IFERROR(__xludf.DUMMYFUNCTION("""COMPUTED_VALUE"""),381.0)</f>
        <v>381</v>
      </c>
      <c r="B93" s="418" t="str">
        <f>IFERROR(__xludf.DUMMYFUNCTION("""COMPUTED_VALUE"""),"Uber")</f>
        <v>Uber</v>
      </c>
      <c r="C93" s="419" t="str">
        <f>IFERROR(__xludf.DUMMYFUNCTION("IF(ISBLANK($B93),"""",query('Saída'!$K$3:$R$505,""Select R where N = '""&amp;$B93&amp;""' and K = ""&amp;$A93,0))"),"Nubank")</f>
        <v>Nubank</v>
      </c>
      <c r="D93" s="420"/>
      <c r="E93" s="421">
        <f>IFERROR(__xludf.DUMMYFUNCTION("if(isblank($B93),"""",split(rept(0&amp;""-"",month(query('Saída'!$J$3:$R$505,""Select M where N = '""&amp;$B93&amp;""' and K = ""&amp;$A93,0))-1)&amp;rept(query('Saída'!$J$3:$R$505,""Select Q where N = '""&amp;$B93&amp;""' and K = ""&amp;$A93,0)&amp;""-"",query('Saída'!$J$3:$R$505,""Select "&amp;"P where N = '""&amp;$B93&amp;""' and K = ""&amp;$A93,0)),""-""))"),0.0)</f>
        <v>0</v>
      </c>
      <c r="F93" s="423">
        <f>IFERROR(__xludf.DUMMYFUNCTION("""COMPUTED_VALUE"""),0.0)</f>
        <v>0</v>
      </c>
      <c r="G93" s="423">
        <f>IFERROR(__xludf.DUMMYFUNCTION("""COMPUTED_VALUE"""),0.0)</f>
        <v>0</v>
      </c>
      <c r="H93" s="423">
        <f>IFERROR(__xludf.DUMMYFUNCTION("""COMPUTED_VALUE"""),0.0)</f>
        <v>0</v>
      </c>
      <c r="I93" s="423">
        <f>IFERROR(__xludf.DUMMYFUNCTION("""COMPUTED_VALUE"""),0.0)</f>
        <v>0</v>
      </c>
      <c r="J93" s="423">
        <f>IFERROR(__xludf.DUMMYFUNCTION("""COMPUTED_VALUE"""),0.0)</f>
        <v>0</v>
      </c>
      <c r="K93" s="423">
        <f>IFERROR(__xludf.DUMMYFUNCTION("""COMPUTED_VALUE"""),0.0)</f>
        <v>0</v>
      </c>
      <c r="L93" s="423">
        <f>IFERROR(__xludf.DUMMYFUNCTION("""COMPUTED_VALUE"""),0.0)</f>
        <v>0</v>
      </c>
      <c r="M93" s="423">
        <f>IFERROR(__xludf.DUMMYFUNCTION("""COMPUTED_VALUE"""),0.0)</f>
        <v>0</v>
      </c>
      <c r="N93" s="423">
        <f>IFERROR(__xludf.DUMMYFUNCTION("""COMPUTED_VALUE"""),11.11)</f>
        <v>11.11</v>
      </c>
      <c r="O93" s="423"/>
      <c r="P93" s="423"/>
      <c r="Q93" s="423"/>
      <c r="R93" s="423"/>
      <c r="S93" s="423"/>
      <c r="T93" s="423"/>
      <c r="U93" s="423"/>
      <c r="V93" s="423"/>
      <c r="W93" s="423"/>
      <c r="X93" s="423"/>
      <c r="Y93" s="423"/>
      <c r="Z93" s="423"/>
      <c r="AA93" s="424"/>
      <c r="AB93" s="21"/>
      <c r="AC93" s="429"/>
      <c r="AD93" s="430"/>
      <c r="AE93" s="370"/>
      <c r="AF93" s="21"/>
      <c r="AG93" s="430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</row>
    <row r="94">
      <c r="A94" s="427">
        <f>IFERROR(__xludf.DUMMYFUNCTION("""COMPUTED_VALUE"""),382.0)</f>
        <v>382</v>
      </c>
      <c r="B94" s="418" t="str">
        <f>IFERROR(__xludf.DUMMYFUNCTION("""COMPUTED_VALUE"""),"Nordestão")</f>
        <v>Nordestão</v>
      </c>
      <c r="C94" s="419" t="str">
        <f>IFERROR(__xludf.DUMMYFUNCTION("IF(ISBLANK($B94),"""",query('Saída'!$K$3:$R$505,""Select R where N = '""&amp;$B94&amp;""' and K = ""&amp;$A94,0))"),"Credicard")</f>
        <v>Credicard</v>
      </c>
      <c r="D94" s="420"/>
      <c r="E94" s="421">
        <f>IFERROR(__xludf.DUMMYFUNCTION("if(isblank($B94),"""",split(rept(0&amp;""-"",month(query('Saída'!$J$3:$R$505,""Select M where N = '""&amp;$B94&amp;""' and K = ""&amp;$A94,0))-1)&amp;rept(query('Saída'!$J$3:$R$505,""Select Q where N = '""&amp;$B94&amp;""' and K = ""&amp;$A94,0)&amp;""-"",query('Saída'!$J$3:$R$505,""Select "&amp;"P where N = '""&amp;$B94&amp;""' and K = ""&amp;$A94,0)),""-""))"),0.0)</f>
        <v>0</v>
      </c>
      <c r="F94" s="423">
        <f>IFERROR(__xludf.DUMMYFUNCTION("""COMPUTED_VALUE"""),0.0)</f>
        <v>0</v>
      </c>
      <c r="G94" s="423">
        <f>IFERROR(__xludf.DUMMYFUNCTION("""COMPUTED_VALUE"""),0.0)</f>
        <v>0</v>
      </c>
      <c r="H94" s="423">
        <f>IFERROR(__xludf.DUMMYFUNCTION("""COMPUTED_VALUE"""),0.0)</f>
        <v>0</v>
      </c>
      <c r="I94" s="423">
        <f>IFERROR(__xludf.DUMMYFUNCTION("""COMPUTED_VALUE"""),0.0)</f>
        <v>0</v>
      </c>
      <c r="J94" s="423">
        <f>IFERROR(__xludf.DUMMYFUNCTION("""COMPUTED_VALUE"""),0.0)</f>
        <v>0</v>
      </c>
      <c r="K94" s="423">
        <f>IFERROR(__xludf.DUMMYFUNCTION("""COMPUTED_VALUE"""),0.0)</f>
        <v>0</v>
      </c>
      <c r="L94" s="423">
        <f>IFERROR(__xludf.DUMMYFUNCTION("""COMPUTED_VALUE"""),0.0)</f>
        <v>0</v>
      </c>
      <c r="M94" s="423">
        <f>IFERROR(__xludf.DUMMYFUNCTION("""COMPUTED_VALUE"""),0.0)</f>
        <v>0</v>
      </c>
      <c r="N94" s="423">
        <f>IFERROR(__xludf.DUMMYFUNCTION("""COMPUTED_VALUE"""),48.71)</f>
        <v>48.71</v>
      </c>
      <c r="O94" s="423"/>
      <c r="P94" s="423"/>
      <c r="Q94" s="423"/>
      <c r="R94" s="423"/>
      <c r="S94" s="423"/>
      <c r="T94" s="423"/>
      <c r="U94" s="423"/>
      <c r="V94" s="423"/>
      <c r="W94" s="423"/>
      <c r="X94" s="423"/>
      <c r="Y94" s="423"/>
      <c r="Z94" s="423"/>
      <c r="AA94" s="424"/>
      <c r="AB94" s="21"/>
      <c r="AC94" s="429"/>
      <c r="AD94" s="430"/>
      <c r="AE94" s="370"/>
      <c r="AF94" s="21"/>
      <c r="AG94" s="430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</row>
    <row r="95">
      <c r="A95" s="427">
        <f>IFERROR(__xludf.DUMMYFUNCTION("""COMPUTED_VALUE"""),383.0)</f>
        <v>383</v>
      </c>
      <c r="B95" s="418" t="str">
        <f>IFERROR(__xludf.DUMMYFUNCTION("""COMPUTED_VALUE"""),"Mineirão")</f>
        <v>Mineirão</v>
      </c>
      <c r="C95" s="419" t="str">
        <f>IFERROR(__xludf.DUMMYFUNCTION("IF(ISBLANK($B95),"""",query('Saída'!$K$3:$R$505,""Select R where N = '""&amp;$B95&amp;""' and K = ""&amp;$A95,0))"),"Carrefour")</f>
        <v>Carrefour</v>
      </c>
      <c r="D95" s="420"/>
      <c r="E95" s="421">
        <f>IFERROR(__xludf.DUMMYFUNCTION("if(isblank($B95),"""",split(rept(0&amp;""-"",month(query('Saída'!$J$3:$R$505,""Select M where N = '""&amp;$B95&amp;""' and K = ""&amp;$A95,0))-1)&amp;rept(query('Saída'!$J$3:$R$505,""Select Q where N = '""&amp;$B95&amp;""' and K = ""&amp;$A95,0)&amp;""-"",query('Saída'!$J$3:$R$505,""Select "&amp;"P where N = '""&amp;$B95&amp;""' and K = ""&amp;$A95,0)),""-""))"),0.0)</f>
        <v>0</v>
      </c>
      <c r="F95" s="423">
        <f>IFERROR(__xludf.DUMMYFUNCTION("""COMPUTED_VALUE"""),0.0)</f>
        <v>0</v>
      </c>
      <c r="G95" s="423">
        <f>IFERROR(__xludf.DUMMYFUNCTION("""COMPUTED_VALUE"""),0.0)</f>
        <v>0</v>
      </c>
      <c r="H95" s="423">
        <f>IFERROR(__xludf.DUMMYFUNCTION("""COMPUTED_VALUE"""),0.0)</f>
        <v>0</v>
      </c>
      <c r="I95" s="423">
        <f>IFERROR(__xludf.DUMMYFUNCTION("""COMPUTED_VALUE"""),0.0)</f>
        <v>0</v>
      </c>
      <c r="J95" s="423">
        <f>IFERROR(__xludf.DUMMYFUNCTION("""COMPUTED_VALUE"""),0.0)</f>
        <v>0</v>
      </c>
      <c r="K95" s="423">
        <f>IFERROR(__xludf.DUMMYFUNCTION("""COMPUTED_VALUE"""),0.0)</f>
        <v>0</v>
      </c>
      <c r="L95" s="423">
        <f>IFERROR(__xludf.DUMMYFUNCTION("""COMPUTED_VALUE"""),0.0)</f>
        <v>0</v>
      </c>
      <c r="M95" s="423">
        <f>IFERROR(__xludf.DUMMYFUNCTION("""COMPUTED_VALUE"""),0.0)</f>
        <v>0</v>
      </c>
      <c r="N95" s="423">
        <f>IFERROR(__xludf.DUMMYFUNCTION("""COMPUTED_VALUE"""),114.48)</f>
        <v>114.48</v>
      </c>
      <c r="O95" s="423"/>
      <c r="P95" s="423"/>
      <c r="Q95" s="423"/>
      <c r="R95" s="423"/>
      <c r="S95" s="423"/>
      <c r="T95" s="423"/>
      <c r="U95" s="423"/>
      <c r="V95" s="423"/>
      <c r="W95" s="423"/>
      <c r="X95" s="423"/>
      <c r="Y95" s="423"/>
      <c r="Z95" s="423"/>
      <c r="AA95" s="424"/>
      <c r="AB95" s="21"/>
      <c r="AC95" s="429"/>
      <c r="AD95" s="430"/>
      <c r="AE95" s="370"/>
      <c r="AF95" s="21"/>
      <c r="AG95" s="430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</row>
    <row r="96">
      <c r="A96" s="427">
        <f>IFERROR(__xludf.DUMMYFUNCTION("""COMPUTED_VALUE"""),384.0)</f>
        <v>384</v>
      </c>
      <c r="B96" s="418" t="str">
        <f>IFERROR(__xludf.DUMMYFUNCTION("""COMPUTED_VALUE"""),"Gasolina")</f>
        <v>Gasolina</v>
      </c>
      <c r="C96" s="419" t="str">
        <f>IFERROR(__xludf.DUMMYFUNCTION("IF(ISBLANK($B96),"""",query('Saída'!$K$3:$R$505,""Select R where N = '""&amp;$B96&amp;""' and K = ""&amp;$A96,0))"),"Credicard")</f>
        <v>Credicard</v>
      </c>
      <c r="D96" s="420"/>
      <c r="E96" s="421">
        <f>IFERROR(__xludf.DUMMYFUNCTION("if(isblank($B96),"""",split(rept(0&amp;""-"",month(query('Saída'!$J$3:$R$505,""Select M where N = '""&amp;$B96&amp;""' and K = ""&amp;$A96,0))-1)&amp;rept(query('Saída'!$J$3:$R$505,""Select Q where N = '""&amp;$B96&amp;""' and K = ""&amp;$A96,0)&amp;""-"",query('Saída'!$J$3:$R$505,""Select "&amp;"P where N = '""&amp;$B96&amp;""' and K = ""&amp;$A96,0)),""-""))"),0.0)</f>
        <v>0</v>
      </c>
      <c r="F96" s="423">
        <f>IFERROR(__xludf.DUMMYFUNCTION("""COMPUTED_VALUE"""),0.0)</f>
        <v>0</v>
      </c>
      <c r="G96" s="423">
        <f>IFERROR(__xludf.DUMMYFUNCTION("""COMPUTED_VALUE"""),0.0)</f>
        <v>0</v>
      </c>
      <c r="H96" s="423">
        <f>IFERROR(__xludf.DUMMYFUNCTION("""COMPUTED_VALUE"""),0.0)</f>
        <v>0</v>
      </c>
      <c r="I96" s="423">
        <f>IFERROR(__xludf.DUMMYFUNCTION("""COMPUTED_VALUE"""),0.0)</f>
        <v>0</v>
      </c>
      <c r="J96" s="423">
        <f>IFERROR(__xludf.DUMMYFUNCTION("""COMPUTED_VALUE"""),0.0)</f>
        <v>0</v>
      </c>
      <c r="K96" s="423">
        <f>IFERROR(__xludf.DUMMYFUNCTION("""COMPUTED_VALUE"""),0.0)</f>
        <v>0</v>
      </c>
      <c r="L96" s="423">
        <f>IFERROR(__xludf.DUMMYFUNCTION("""COMPUTED_VALUE"""),0.0)</f>
        <v>0</v>
      </c>
      <c r="M96" s="423">
        <f>IFERROR(__xludf.DUMMYFUNCTION("""COMPUTED_VALUE"""),0.0)</f>
        <v>0</v>
      </c>
      <c r="N96" s="423">
        <f>IFERROR(__xludf.DUMMYFUNCTION("""COMPUTED_VALUE"""),100.0)</f>
        <v>100</v>
      </c>
      <c r="O96" s="423"/>
      <c r="P96" s="423"/>
      <c r="Q96" s="423"/>
      <c r="R96" s="423"/>
      <c r="S96" s="423"/>
      <c r="T96" s="423"/>
      <c r="U96" s="423"/>
      <c r="V96" s="423"/>
      <c r="W96" s="423"/>
      <c r="X96" s="423"/>
      <c r="Y96" s="423"/>
      <c r="Z96" s="423"/>
      <c r="AA96" s="424"/>
      <c r="AB96" s="21"/>
      <c r="AC96" s="429"/>
      <c r="AD96" s="430"/>
      <c r="AE96" s="370"/>
      <c r="AF96" s="21"/>
      <c r="AG96" s="430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</row>
    <row r="97">
      <c r="A97" s="427">
        <f>IFERROR(__xludf.DUMMYFUNCTION("""COMPUTED_VALUE"""),385.0)</f>
        <v>385</v>
      </c>
      <c r="B97" s="418" t="str">
        <f>IFERROR(__xludf.DUMMYFUNCTION("""COMPUTED_VALUE"""),"Roda do carro")</f>
        <v>Roda do carro</v>
      </c>
      <c r="C97" s="419" t="str">
        <f>IFERROR(__xludf.DUMMYFUNCTION("IF(ISBLANK($B97),"""",query('Saída'!$K$3:$R$505,""Select R where N = '""&amp;$B97&amp;""' and K = ""&amp;$A97,0))"),"Credicard")</f>
        <v>Credicard</v>
      </c>
      <c r="D97" s="420"/>
      <c r="E97" s="421">
        <f>IFERROR(__xludf.DUMMYFUNCTION("if(isblank($B97),"""",split(rept(0&amp;""-"",month(query('Saída'!$J$3:$R$505,""Select M where N = '""&amp;$B97&amp;""' and K = ""&amp;$A97,0))-1)&amp;rept(query('Saída'!$J$3:$R$505,""Select Q where N = '""&amp;$B97&amp;""' and K = ""&amp;$A97,0)&amp;""-"",query('Saída'!$J$3:$R$505,""Select "&amp;"P where N = '""&amp;$B97&amp;""' and K = ""&amp;$A97,0)),""-""))"),0.0)</f>
        <v>0</v>
      </c>
      <c r="F97" s="423">
        <f>IFERROR(__xludf.DUMMYFUNCTION("""COMPUTED_VALUE"""),0.0)</f>
        <v>0</v>
      </c>
      <c r="G97" s="423">
        <f>IFERROR(__xludf.DUMMYFUNCTION("""COMPUTED_VALUE"""),0.0)</f>
        <v>0</v>
      </c>
      <c r="H97" s="423">
        <f>IFERROR(__xludf.DUMMYFUNCTION("""COMPUTED_VALUE"""),0.0)</f>
        <v>0</v>
      </c>
      <c r="I97" s="423">
        <f>IFERROR(__xludf.DUMMYFUNCTION("""COMPUTED_VALUE"""),0.0)</f>
        <v>0</v>
      </c>
      <c r="J97" s="423">
        <f>IFERROR(__xludf.DUMMYFUNCTION("""COMPUTED_VALUE"""),0.0)</f>
        <v>0</v>
      </c>
      <c r="K97" s="423">
        <f>IFERROR(__xludf.DUMMYFUNCTION("""COMPUTED_VALUE"""),0.0)</f>
        <v>0</v>
      </c>
      <c r="L97" s="423">
        <f>IFERROR(__xludf.DUMMYFUNCTION("""COMPUTED_VALUE"""),0.0)</f>
        <v>0</v>
      </c>
      <c r="M97" s="423">
        <f>IFERROR(__xludf.DUMMYFUNCTION("""COMPUTED_VALUE"""),0.0)</f>
        <v>0</v>
      </c>
      <c r="N97" s="423">
        <f>IFERROR(__xludf.DUMMYFUNCTION("""COMPUTED_VALUE"""),70.0)</f>
        <v>70</v>
      </c>
      <c r="O97" s="423"/>
      <c r="P97" s="423"/>
      <c r="Q97" s="423"/>
      <c r="R97" s="423"/>
      <c r="S97" s="423"/>
      <c r="T97" s="423"/>
      <c r="U97" s="423"/>
      <c r="V97" s="423"/>
      <c r="W97" s="423"/>
      <c r="X97" s="423"/>
      <c r="Y97" s="423"/>
      <c r="Z97" s="423"/>
      <c r="AA97" s="424"/>
      <c r="AB97" s="21"/>
      <c r="AC97" s="429"/>
      <c r="AD97" s="430"/>
      <c r="AE97" s="370"/>
      <c r="AF97" s="21"/>
      <c r="AG97" s="430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</row>
    <row r="98">
      <c r="A98" s="427">
        <f>IFERROR(__xludf.DUMMYFUNCTION("""COMPUTED_VALUE"""),386.0)</f>
        <v>386</v>
      </c>
      <c r="B98" s="418" t="str">
        <f>IFERROR(__xludf.DUMMYFUNCTION("""COMPUTED_VALUE"""),"Amendoin")</f>
        <v>Amendoin</v>
      </c>
      <c r="C98" s="419" t="str">
        <f>IFERROR(__xludf.DUMMYFUNCTION("IF(ISBLANK($B98),"""",query('Saída'!$K$3:$R$505,""Select R where N = '""&amp;$B98&amp;""' and K = ""&amp;$A98,0))"),"Carrefour")</f>
        <v>Carrefour</v>
      </c>
      <c r="D98" s="420"/>
      <c r="E98" s="421">
        <f>IFERROR(__xludf.DUMMYFUNCTION("if(isblank($B98),"""",split(rept(0&amp;""-"",month(query('Saída'!$J$3:$R$505,""Select M where N = '""&amp;$B98&amp;""' and K = ""&amp;$A98,0))-1)&amp;rept(query('Saída'!$J$3:$R$505,""Select Q where N = '""&amp;$B98&amp;""' and K = ""&amp;$A98,0)&amp;""-"",query('Saída'!$J$3:$R$505,""Select "&amp;"P where N = '""&amp;$B98&amp;""' and K = ""&amp;$A98,0)),""-""))"),0.0)</f>
        <v>0</v>
      </c>
      <c r="F98" s="423">
        <f>IFERROR(__xludf.DUMMYFUNCTION("""COMPUTED_VALUE"""),0.0)</f>
        <v>0</v>
      </c>
      <c r="G98" s="423">
        <f>IFERROR(__xludf.DUMMYFUNCTION("""COMPUTED_VALUE"""),0.0)</f>
        <v>0</v>
      </c>
      <c r="H98" s="423">
        <f>IFERROR(__xludf.DUMMYFUNCTION("""COMPUTED_VALUE"""),0.0)</f>
        <v>0</v>
      </c>
      <c r="I98" s="423">
        <f>IFERROR(__xludf.DUMMYFUNCTION("""COMPUTED_VALUE"""),0.0)</f>
        <v>0</v>
      </c>
      <c r="J98" s="423">
        <f>IFERROR(__xludf.DUMMYFUNCTION("""COMPUTED_VALUE"""),0.0)</f>
        <v>0</v>
      </c>
      <c r="K98" s="423">
        <f>IFERROR(__xludf.DUMMYFUNCTION("""COMPUTED_VALUE"""),0.0)</f>
        <v>0</v>
      </c>
      <c r="L98" s="423">
        <f>IFERROR(__xludf.DUMMYFUNCTION("""COMPUTED_VALUE"""),0.0)</f>
        <v>0</v>
      </c>
      <c r="M98" s="423">
        <f>IFERROR(__xludf.DUMMYFUNCTION("""COMPUTED_VALUE"""),0.0)</f>
        <v>0</v>
      </c>
      <c r="N98" s="423">
        <f>IFERROR(__xludf.DUMMYFUNCTION("""COMPUTED_VALUE"""),10.69)</f>
        <v>10.69</v>
      </c>
      <c r="O98" s="423"/>
      <c r="P98" s="423"/>
      <c r="Q98" s="423"/>
      <c r="R98" s="423"/>
      <c r="S98" s="423"/>
      <c r="T98" s="423"/>
      <c r="U98" s="423"/>
      <c r="V98" s="423"/>
      <c r="W98" s="423"/>
      <c r="X98" s="423"/>
      <c r="Y98" s="423"/>
      <c r="Z98" s="423"/>
      <c r="AA98" s="424"/>
      <c r="AB98" s="21"/>
      <c r="AC98" s="429"/>
      <c r="AD98" s="430"/>
      <c r="AE98" s="370"/>
      <c r="AF98" s="21"/>
      <c r="AG98" s="430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</row>
    <row r="99">
      <c r="A99" s="431">
        <f>IFERROR(__xludf.DUMMYFUNCTION("""COMPUTED_VALUE"""),387.0)</f>
        <v>387</v>
      </c>
      <c r="B99" s="418" t="str">
        <f>IFERROR(__xludf.DUMMYFUNCTION("""COMPUTED_VALUE"""),"Tim")</f>
        <v>Tim</v>
      </c>
      <c r="C99" s="419" t="str">
        <f>IFERROR(__xludf.DUMMYFUNCTION("IF(ISBLANK($B99),"""",query('Saída'!$K$3:$R$505,""Select R where N = '""&amp;$B99&amp;""' and K = ""&amp;$A99,0))"),"Carrefour")</f>
        <v>Carrefour</v>
      </c>
      <c r="D99" s="420"/>
      <c r="E99" s="421">
        <f>IFERROR(__xludf.DUMMYFUNCTION("if(isblank($B99),"""",split(rept(0&amp;""-"",month(query('Saída'!$J$3:$R$505,""Select M where N = '""&amp;$B99&amp;""' and K = ""&amp;$A99,0))-1)&amp;rept(query('Saída'!$J$3:$R$505,""Select Q where N = '""&amp;$B99&amp;""' and K = ""&amp;$A99,0)&amp;""-"",query('Saída'!$J$3:$R$505,""Select "&amp;"P where N = '""&amp;$B99&amp;""' and K = ""&amp;$A99,0)),""-""))"),0.0)</f>
        <v>0</v>
      </c>
      <c r="F99" s="432">
        <f>IFERROR(__xludf.DUMMYFUNCTION("""COMPUTED_VALUE"""),0.0)</f>
        <v>0</v>
      </c>
      <c r="G99" s="432">
        <f>IFERROR(__xludf.DUMMYFUNCTION("""COMPUTED_VALUE"""),0.0)</f>
        <v>0</v>
      </c>
      <c r="H99" s="432">
        <f>IFERROR(__xludf.DUMMYFUNCTION("""COMPUTED_VALUE"""),0.0)</f>
        <v>0</v>
      </c>
      <c r="I99" s="432">
        <f>IFERROR(__xludf.DUMMYFUNCTION("""COMPUTED_VALUE"""),0.0)</f>
        <v>0</v>
      </c>
      <c r="J99" s="432">
        <f>IFERROR(__xludf.DUMMYFUNCTION("""COMPUTED_VALUE"""),0.0)</f>
        <v>0</v>
      </c>
      <c r="K99" s="432">
        <f>IFERROR(__xludf.DUMMYFUNCTION("""COMPUTED_VALUE"""),0.0)</f>
        <v>0</v>
      </c>
      <c r="L99" s="432">
        <f>IFERROR(__xludf.DUMMYFUNCTION("""COMPUTED_VALUE"""),0.0)</f>
        <v>0</v>
      </c>
      <c r="M99" s="432">
        <f>IFERROR(__xludf.DUMMYFUNCTION("""COMPUTED_VALUE"""),0.0)</f>
        <v>0</v>
      </c>
      <c r="N99" s="432">
        <f>IFERROR(__xludf.DUMMYFUNCTION("""COMPUTED_VALUE"""),15.0)</f>
        <v>15</v>
      </c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2"/>
      <c r="AA99" s="432"/>
      <c r="AB99" s="21"/>
      <c r="AC99" s="429"/>
      <c r="AD99" s="430"/>
      <c r="AE99" s="370"/>
      <c r="AF99" s="21"/>
      <c r="AG99" s="430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</row>
    <row r="100">
      <c r="A100" s="433">
        <f>IFERROR(__xludf.DUMMYFUNCTION("""COMPUTED_VALUE"""),388.0)</f>
        <v>388</v>
      </c>
      <c r="B100" s="434" t="str">
        <f>IFERROR(__xludf.DUMMYFUNCTION("""COMPUTED_VALUE"""),"Carrefour")</f>
        <v>Carrefour</v>
      </c>
      <c r="C100" s="435" t="str">
        <f>IFERROR(__xludf.DUMMYFUNCTION("IF(ISBLANK($B100),"""",query('Saída'!$K$3:$R$505,""Select R where N = '""&amp;$B100&amp;""' and K = ""&amp;$A100,0))"),"Carrefour")</f>
        <v>Carrefour</v>
      </c>
      <c r="D100" s="436"/>
      <c r="E100" s="437">
        <f>IFERROR(__xludf.DUMMYFUNCTION("if(isblank($B100),"""",split(rept(0&amp;""-"",month(query('Saída'!$J$3:$R$505,""Select M where N = '""&amp;$B100&amp;""' and K = ""&amp;$A100,0))-1)&amp;rept(query('Saída'!$J$3:$R$505,""Select Q where N = '""&amp;$B100&amp;""' and K = ""&amp;$A100,0)&amp;""-"",query('Saída'!$J$3:$R$505,""Se"&amp;"lect P where N = '""&amp;$B100&amp;""' and K = ""&amp;$A100,0)),""-""))"),0.0)</f>
        <v>0</v>
      </c>
      <c r="F100" s="432">
        <f>IFERROR(__xludf.DUMMYFUNCTION("""COMPUTED_VALUE"""),0.0)</f>
        <v>0</v>
      </c>
      <c r="G100" s="432">
        <f>IFERROR(__xludf.DUMMYFUNCTION("""COMPUTED_VALUE"""),0.0)</f>
        <v>0</v>
      </c>
      <c r="H100" s="432">
        <f>IFERROR(__xludf.DUMMYFUNCTION("""COMPUTED_VALUE"""),0.0)</f>
        <v>0</v>
      </c>
      <c r="I100" s="432">
        <f>IFERROR(__xludf.DUMMYFUNCTION("""COMPUTED_VALUE"""),0.0)</f>
        <v>0</v>
      </c>
      <c r="J100" s="432">
        <f>IFERROR(__xludf.DUMMYFUNCTION("""COMPUTED_VALUE"""),0.0)</f>
        <v>0</v>
      </c>
      <c r="K100" s="432">
        <f>IFERROR(__xludf.DUMMYFUNCTION("""COMPUTED_VALUE"""),0.0)</f>
        <v>0</v>
      </c>
      <c r="L100" s="432">
        <f>IFERROR(__xludf.DUMMYFUNCTION("""COMPUTED_VALUE"""),0.0)</f>
        <v>0</v>
      </c>
      <c r="M100" s="432">
        <f>IFERROR(__xludf.DUMMYFUNCTION("""COMPUTED_VALUE"""),0.0)</f>
        <v>0</v>
      </c>
      <c r="N100" s="432">
        <f>IFERROR(__xludf.DUMMYFUNCTION("""COMPUTED_VALUE"""),77.76)</f>
        <v>77.76</v>
      </c>
      <c r="O100" s="432"/>
      <c r="P100" s="432"/>
      <c r="Q100" s="432"/>
      <c r="R100" s="432"/>
      <c r="S100" s="432"/>
      <c r="T100" s="432"/>
      <c r="U100" s="432"/>
      <c r="V100" s="432"/>
      <c r="W100" s="432"/>
      <c r="X100" s="432"/>
      <c r="Y100" s="432"/>
      <c r="Z100" s="432"/>
      <c r="AA100" s="432"/>
      <c r="AB100" s="21"/>
      <c r="AC100" s="21"/>
      <c r="AD100" s="21"/>
      <c r="AE100" s="370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</row>
    <row r="101">
      <c r="A101" s="433">
        <f>IFERROR(__xludf.DUMMYFUNCTION("""COMPUTED_VALUE"""),389.0)</f>
        <v>389</v>
      </c>
      <c r="B101" s="434" t="str">
        <f>IFERROR(__xludf.DUMMYFUNCTION("""COMPUTED_VALUE"""),"Mineirão")</f>
        <v>Mineirão</v>
      </c>
      <c r="C101" s="435" t="str">
        <f>IFERROR(__xludf.DUMMYFUNCTION("IF(ISBLANK($B101),"""",query('Saída'!$K$3:$R$505,""Select R where N = '""&amp;$B101&amp;""' and K = ""&amp;$A101,0))"),"Carrefour")</f>
        <v>Carrefour</v>
      </c>
      <c r="D101" s="436"/>
      <c r="E101" s="438">
        <f>IFERROR(__xludf.DUMMYFUNCTION("if(isblank($B101),"""",split(rept(0&amp;""-"",month(query('Saída'!$J$3:$R$505,""Select M where N = '""&amp;$B101&amp;""' and K = ""&amp;$A101,0))-1)&amp;rept(query('Saída'!$J$3:$R$505,""Select Q where N = '""&amp;$B101&amp;""' and K = ""&amp;$A101,0)&amp;""-"",query('Saída'!$J$3:$R$505,""Se"&amp;"lect P where N = '""&amp;$B101&amp;""' and K = ""&amp;$A101,0)),""-""))"),0.0)</f>
        <v>0</v>
      </c>
      <c r="F101" s="439">
        <f>IFERROR(__xludf.DUMMYFUNCTION("""COMPUTED_VALUE"""),0.0)</f>
        <v>0</v>
      </c>
      <c r="G101" s="439">
        <f>IFERROR(__xludf.DUMMYFUNCTION("""COMPUTED_VALUE"""),0.0)</f>
        <v>0</v>
      </c>
      <c r="H101" s="439">
        <f>IFERROR(__xludf.DUMMYFUNCTION("""COMPUTED_VALUE"""),0.0)</f>
        <v>0</v>
      </c>
      <c r="I101" s="439">
        <f>IFERROR(__xludf.DUMMYFUNCTION("""COMPUTED_VALUE"""),0.0)</f>
        <v>0</v>
      </c>
      <c r="J101" s="439">
        <f>IFERROR(__xludf.DUMMYFUNCTION("""COMPUTED_VALUE"""),0.0)</f>
        <v>0</v>
      </c>
      <c r="K101" s="439">
        <f>IFERROR(__xludf.DUMMYFUNCTION("""COMPUTED_VALUE"""),0.0)</f>
        <v>0</v>
      </c>
      <c r="L101" s="439">
        <f>IFERROR(__xludf.DUMMYFUNCTION("""COMPUTED_VALUE"""),0.0)</f>
        <v>0</v>
      </c>
      <c r="M101" s="439">
        <f>IFERROR(__xludf.DUMMYFUNCTION("""COMPUTED_VALUE"""),0.0)</f>
        <v>0</v>
      </c>
      <c r="N101" s="439">
        <f>IFERROR(__xludf.DUMMYFUNCTION("""COMPUTED_VALUE"""),143.63)</f>
        <v>143.63</v>
      </c>
      <c r="O101" s="439"/>
      <c r="P101" s="439"/>
      <c r="Q101" s="439"/>
      <c r="R101" s="439"/>
      <c r="S101" s="439"/>
      <c r="T101" s="439"/>
      <c r="U101" s="439"/>
      <c r="V101" s="439"/>
      <c r="W101" s="439"/>
      <c r="X101" s="439"/>
      <c r="Y101" s="439"/>
      <c r="Z101" s="439"/>
      <c r="AA101" s="439"/>
      <c r="AB101" s="21"/>
      <c r="AC101" s="21"/>
      <c r="AD101" s="21"/>
      <c r="AE101" s="370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</row>
    <row r="102">
      <c r="A102" s="433">
        <f>IFERROR(__xludf.DUMMYFUNCTION("""COMPUTED_VALUE"""),411.0)</f>
        <v>411</v>
      </c>
      <c r="B102" s="434" t="str">
        <f>IFERROR(__xludf.DUMMYFUNCTION("""COMPUTED_VALUE"""),"Carrefour")</f>
        <v>Carrefour</v>
      </c>
      <c r="C102" s="435" t="str">
        <f>IFERROR(__xludf.DUMMYFUNCTION("IF(ISBLANK($B102),"""",query('Saída'!$K$3:$R$505,""Select R where N = '""&amp;$B102&amp;""' and K = ""&amp;$A102,0))"),"Carrefour")</f>
        <v>Carrefour</v>
      </c>
      <c r="D102" s="436"/>
      <c r="E102" s="438">
        <f>IFERROR(__xludf.DUMMYFUNCTION("if(isblank($B102),"""",split(rept(0&amp;""-"",month(query('Saída'!$J$3:$R$505,""Select M where N = '""&amp;$B102&amp;""' and K = ""&amp;$A102,0))-1)&amp;rept(query('Saída'!$J$3:$R$505,""Select Q where N = '""&amp;$B102&amp;""' and K = ""&amp;$A102,0)&amp;""-"",query('Saída'!$J$3:$R$505,""Se"&amp;"lect P where N = '""&amp;$B102&amp;""' and K = ""&amp;$A102,0)),""-""))"),0.0)</f>
        <v>0</v>
      </c>
      <c r="F102" s="439">
        <f>IFERROR(__xludf.DUMMYFUNCTION("""COMPUTED_VALUE"""),0.0)</f>
        <v>0</v>
      </c>
      <c r="G102" s="439">
        <f>IFERROR(__xludf.DUMMYFUNCTION("""COMPUTED_VALUE"""),0.0)</f>
        <v>0</v>
      </c>
      <c r="H102" s="439">
        <f>IFERROR(__xludf.DUMMYFUNCTION("""COMPUTED_VALUE"""),0.0)</f>
        <v>0</v>
      </c>
      <c r="I102" s="439">
        <f>IFERROR(__xludf.DUMMYFUNCTION("""COMPUTED_VALUE"""),0.0)</f>
        <v>0</v>
      </c>
      <c r="J102" s="439">
        <f>IFERROR(__xludf.DUMMYFUNCTION("""COMPUTED_VALUE"""),0.0)</f>
        <v>0</v>
      </c>
      <c r="K102" s="439">
        <f>IFERROR(__xludf.DUMMYFUNCTION("""COMPUTED_VALUE"""),0.0)</f>
        <v>0</v>
      </c>
      <c r="L102" s="439">
        <f>IFERROR(__xludf.DUMMYFUNCTION("""COMPUTED_VALUE"""),0.0)</f>
        <v>0</v>
      </c>
      <c r="M102" s="439">
        <f>IFERROR(__xludf.DUMMYFUNCTION("""COMPUTED_VALUE"""),0.0)</f>
        <v>0</v>
      </c>
      <c r="N102" s="439">
        <f>IFERROR(__xludf.DUMMYFUNCTION("""COMPUTED_VALUE"""),0.0)</f>
        <v>0</v>
      </c>
      <c r="O102" s="439">
        <f>IFERROR(__xludf.DUMMYFUNCTION("""COMPUTED_VALUE"""),18.24)</f>
        <v>18.24</v>
      </c>
      <c r="P102" s="439"/>
      <c r="Q102" s="439"/>
      <c r="R102" s="439"/>
      <c r="S102" s="439"/>
      <c r="T102" s="439"/>
      <c r="U102" s="439"/>
      <c r="V102" s="439"/>
      <c r="W102" s="439"/>
      <c r="X102" s="439"/>
      <c r="Y102" s="439"/>
      <c r="Z102" s="439"/>
      <c r="AA102" s="439"/>
      <c r="AB102" s="21"/>
      <c r="AC102" s="21"/>
      <c r="AD102" s="21"/>
      <c r="AE102" s="370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</row>
    <row r="103">
      <c r="A103" s="433">
        <f>IFERROR(__xludf.DUMMYFUNCTION("""COMPUTED_VALUE"""),412.0)</f>
        <v>412</v>
      </c>
      <c r="B103" s="434" t="str">
        <f>IFERROR(__xludf.DUMMYFUNCTION("""COMPUTED_VALUE"""),"Carrefour")</f>
        <v>Carrefour</v>
      </c>
      <c r="C103" s="435" t="str">
        <f>IFERROR(__xludf.DUMMYFUNCTION("IF(ISBLANK($B103),"""",query('Saída'!$K$3:$R$505,""Select R where N = '""&amp;$B103&amp;""' and K = ""&amp;$A103,0))"),"Carrefour")</f>
        <v>Carrefour</v>
      </c>
      <c r="D103" s="436"/>
      <c r="E103" s="438">
        <f>IFERROR(__xludf.DUMMYFUNCTION("if(isblank($B103),"""",split(rept(0&amp;""-"",month(query('Saída'!$J$3:$R$505,""Select M where N = '""&amp;$B103&amp;""' and K = ""&amp;$A103,0))-1)&amp;rept(query('Saída'!$J$3:$R$505,""Select Q where N = '""&amp;$B103&amp;""' and K = ""&amp;$A103,0)&amp;""-"",query('Saída'!$J$3:$R$505,""Se"&amp;"lect P where N = '""&amp;$B103&amp;""' and K = ""&amp;$A103,0)),""-""))"),0.0)</f>
        <v>0</v>
      </c>
      <c r="F103" s="439">
        <f>IFERROR(__xludf.DUMMYFUNCTION("""COMPUTED_VALUE"""),0.0)</f>
        <v>0</v>
      </c>
      <c r="G103" s="439">
        <f>IFERROR(__xludf.DUMMYFUNCTION("""COMPUTED_VALUE"""),0.0)</f>
        <v>0</v>
      </c>
      <c r="H103" s="439">
        <f>IFERROR(__xludf.DUMMYFUNCTION("""COMPUTED_VALUE"""),0.0)</f>
        <v>0</v>
      </c>
      <c r="I103" s="439">
        <f>IFERROR(__xludf.DUMMYFUNCTION("""COMPUTED_VALUE"""),0.0)</f>
        <v>0</v>
      </c>
      <c r="J103" s="439">
        <f>IFERROR(__xludf.DUMMYFUNCTION("""COMPUTED_VALUE"""),0.0)</f>
        <v>0</v>
      </c>
      <c r="K103" s="439">
        <f>IFERROR(__xludf.DUMMYFUNCTION("""COMPUTED_VALUE"""),0.0)</f>
        <v>0</v>
      </c>
      <c r="L103" s="439">
        <f>IFERROR(__xludf.DUMMYFUNCTION("""COMPUTED_VALUE"""),0.0)</f>
        <v>0</v>
      </c>
      <c r="M103" s="439">
        <f>IFERROR(__xludf.DUMMYFUNCTION("""COMPUTED_VALUE"""),0.0)</f>
        <v>0</v>
      </c>
      <c r="N103" s="439">
        <f>IFERROR(__xludf.DUMMYFUNCTION("""COMPUTED_VALUE"""),0.0)</f>
        <v>0</v>
      </c>
      <c r="O103" s="439">
        <f>IFERROR(__xludf.DUMMYFUNCTION("""COMPUTED_VALUE"""),27.29)</f>
        <v>27.29</v>
      </c>
      <c r="P103" s="439"/>
      <c r="Q103" s="439"/>
      <c r="R103" s="439"/>
      <c r="S103" s="439"/>
      <c r="T103" s="439"/>
      <c r="U103" s="439"/>
      <c r="V103" s="439"/>
      <c r="W103" s="439"/>
      <c r="X103" s="439"/>
      <c r="Y103" s="439"/>
      <c r="Z103" s="439"/>
      <c r="AA103" s="439"/>
      <c r="AB103" s="21"/>
      <c r="AC103" s="21"/>
      <c r="AD103" s="21"/>
      <c r="AE103" s="370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</row>
    <row r="104">
      <c r="A104" s="433">
        <f>IFERROR(__xludf.DUMMYFUNCTION("""COMPUTED_VALUE"""),413.0)</f>
        <v>413</v>
      </c>
      <c r="B104" s="434" t="str">
        <f>IFERROR(__xludf.DUMMYFUNCTION("""COMPUTED_VALUE"""),"Carrefour")</f>
        <v>Carrefour</v>
      </c>
      <c r="C104" s="435" t="str">
        <f>IFERROR(__xludf.DUMMYFUNCTION("IF(ISBLANK($B104),"""",query('Saída'!$K$3:$R$505,""Select R where N = '""&amp;$B104&amp;""' and K = ""&amp;$A104,0))"),"Carrefour")</f>
        <v>Carrefour</v>
      </c>
      <c r="D104" s="436"/>
      <c r="E104" s="438">
        <f>IFERROR(__xludf.DUMMYFUNCTION("if(isblank($B104),"""",split(rept(0&amp;""-"",month(query('Saída'!$J$3:$R$505,""Select M where N = '""&amp;$B104&amp;""' and K = ""&amp;$A104,0))-1)&amp;rept(query('Saída'!$J$3:$R$505,""Select Q where N = '""&amp;$B104&amp;""' and K = ""&amp;$A104,0)&amp;""-"",query('Saída'!$J$3:$R$505,""Se"&amp;"lect P where N = '""&amp;$B104&amp;""' and K = ""&amp;$A104,0)),""-""))"),0.0)</f>
        <v>0</v>
      </c>
      <c r="F104" s="439">
        <f>IFERROR(__xludf.DUMMYFUNCTION("""COMPUTED_VALUE"""),0.0)</f>
        <v>0</v>
      </c>
      <c r="G104" s="439">
        <f>IFERROR(__xludf.DUMMYFUNCTION("""COMPUTED_VALUE"""),0.0)</f>
        <v>0</v>
      </c>
      <c r="H104" s="439">
        <f>IFERROR(__xludf.DUMMYFUNCTION("""COMPUTED_VALUE"""),0.0)</f>
        <v>0</v>
      </c>
      <c r="I104" s="439">
        <f>IFERROR(__xludf.DUMMYFUNCTION("""COMPUTED_VALUE"""),0.0)</f>
        <v>0</v>
      </c>
      <c r="J104" s="439">
        <f>IFERROR(__xludf.DUMMYFUNCTION("""COMPUTED_VALUE"""),0.0)</f>
        <v>0</v>
      </c>
      <c r="K104" s="439">
        <f>IFERROR(__xludf.DUMMYFUNCTION("""COMPUTED_VALUE"""),0.0)</f>
        <v>0</v>
      </c>
      <c r="L104" s="439">
        <f>IFERROR(__xludf.DUMMYFUNCTION("""COMPUTED_VALUE"""),0.0)</f>
        <v>0</v>
      </c>
      <c r="M104" s="439">
        <f>IFERROR(__xludf.DUMMYFUNCTION("""COMPUTED_VALUE"""),0.0)</f>
        <v>0</v>
      </c>
      <c r="N104" s="439">
        <f>IFERROR(__xludf.DUMMYFUNCTION("""COMPUTED_VALUE"""),0.0)</f>
        <v>0</v>
      </c>
      <c r="O104" s="439">
        <f>IFERROR(__xludf.DUMMYFUNCTION("""COMPUTED_VALUE"""),25.79)</f>
        <v>25.79</v>
      </c>
      <c r="P104" s="439"/>
      <c r="Q104" s="439"/>
      <c r="R104" s="439"/>
      <c r="S104" s="439"/>
      <c r="T104" s="439"/>
      <c r="U104" s="439"/>
      <c r="V104" s="439"/>
      <c r="W104" s="439"/>
      <c r="X104" s="439"/>
      <c r="Y104" s="439"/>
      <c r="Z104" s="439"/>
      <c r="AA104" s="439"/>
      <c r="AB104" s="21"/>
      <c r="AC104" s="21"/>
      <c r="AD104" s="21"/>
      <c r="AE104" s="370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</row>
    <row r="105">
      <c r="A105" s="433">
        <f>IFERROR(__xludf.DUMMYFUNCTION("""COMPUTED_VALUE"""),414.0)</f>
        <v>414</v>
      </c>
      <c r="B105" s="434" t="str">
        <f>IFERROR(__xludf.DUMMYFUNCTION("""COMPUTED_VALUE"""),"Carrefour")</f>
        <v>Carrefour</v>
      </c>
      <c r="C105" s="435" t="str">
        <f>IFERROR(__xludf.DUMMYFUNCTION("IF(ISBLANK($B105),"""",query('Saída'!$K$3:$R$505,""Select R where N = '""&amp;$B105&amp;""' and K = ""&amp;$A105,0))"),"Carrefour")</f>
        <v>Carrefour</v>
      </c>
      <c r="D105" s="436"/>
      <c r="E105" s="438">
        <f>IFERROR(__xludf.DUMMYFUNCTION("if(isblank($B105),"""",split(rept(0&amp;""-"",month(query('Saída'!$J$3:$R$505,""Select M where N = '""&amp;$B105&amp;""' and K = ""&amp;$A105,0))-1)&amp;rept(query('Saída'!$J$3:$R$505,""Select Q where N = '""&amp;$B105&amp;""' and K = ""&amp;$A105,0)&amp;""-"",query('Saída'!$J$3:$R$505,""Se"&amp;"lect P where N = '""&amp;$B105&amp;""' and K = ""&amp;$A105,0)),""-""))"),0.0)</f>
        <v>0</v>
      </c>
      <c r="F105" s="439">
        <f>IFERROR(__xludf.DUMMYFUNCTION("""COMPUTED_VALUE"""),0.0)</f>
        <v>0</v>
      </c>
      <c r="G105" s="439">
        <f>IFERROR(__xludf.DUMMYFUNCTION("""COMPUTED_VALUE"""),0.0)</f>
        <v>0</v>
      </c>
      <c r="H105" s="439">
        <f>IFERROR(__xludf.DUMMYFUNCTION("""COMPUTED_VALUE"""),0.0)</f>
        <v>0</v>
      </c>
      <c r="I105" s="439">
        <f>IFERROR(__xludf.DUMMYFUNCTION("""COMPUTED_VALUE"""),0.0)</f>
        <v>0</v>
      </c>
      <c r="J105" s="439">
        <f>IFERROR(__xludf.DUMMYFUNCTION("""COMPUTED_VALUE"""),0.0)</f>
        <v>0</v>
      </c>
      <c r="K105" s="439">
        <f>IFERROR(__xludf.DUMMYFUNCTION("""COMPUTED_VALUE"""),0.0)</f>
        <v>0</v>
      </c>
      <c r="L105" s="439">
        <f>IFERROR(__xludf.DUMMYFUNCTION("""COMPUTED_VALUE"""),0.0)</f>
        <v>0</v>
      </c>
      <c r="M105" s="439">
        <f>IFERROR(__xludf.DUMMYFUNCTION("""COMPUTED_VALUE"""),0.0)</f>
        <v>0</v>
      </c>
      <c r="N105" s="439">
        <f>IFERROR(__xludf.DUMMYFUNCTION("""COMPUTED_VALUE"""),0.0)</f>
        <v>0</v>
      </c>
      <c r="O105" s="439">
        <f>IFERROR(__xludf.DUMMYFUNCTION("""COMPUTED_VALUE"""),29.07)</f>
        <v>29.07</v>
      </c>
      <c r="P105" s="439"/>
      <c r="Q105" s="439"/>
      <c r="R105" s="439"/>
      <c r="S105" s="439"/>
      <c r="T105" s="439"/>
      <c r="U105" s="439"/>
      <c r="V105" s="439"/>
      <c r="W105" s="439"/>
      <c r="X105" s="439"/>
      <c r="Y105" s="439"/>
      <c r="Z105" s="439"/>
      <c r="AA105" s="439"/>
      <c r="AB105" s="21"/>
      <c r="AC105" s="21"/>
      <c r="AD105" s="21"/>
      <c r="AE105" s="370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</row>
    <row r="106">
      <c r="A106" s="433">
        <f>IFERROR(__xludf.DUMMYFUNCTION("""COMPUTED_VALUE"""),415.0)</f>
        <v>415</v>
      </c>
      <c r="B106" s="434" t="str">
        <f>IFERROR(__xludf.DUMMYFUNCTION("""COMPUTED_VALUE"""),"Mineirão")</f>
        <v>Mineirão</v>
      </c>
      <c r="C106" s="435" t="str">
        <f>IFERROR(__xludf.DUMMYFUNCTION("IF(ISBLANK($B106),"""",query('Saída'!$K$3:$R$505,""Select R where N = '""&amp;$B106&amp;""' and K = ""&amp;$A106,0))"),"Carrefour")</f>
        <v>Carrefour</v>
      </c>
      <c r="D106" s="436"/>
      <c r="E106" s="438">
        <f>IFERROR(__xludf.DUMMYFUNCTION("if(isblank($B106),"""",split(rept(0&amp;""-"",month(query('Saída'!$J$3:$R$505,""Select M where N = '""&amp;$B106&amp;""' and K = ""&amp;$A106,0))-1)&amp;rept(query('Saída'!$J$3:$R$505,""Select Q where N = '""&amp;$B106&amp;""' and K = ""&amp;$A106,0)&amp;""-"",query('Saída'!$J$3:$R$505,""Se"&amp;"lect P where N = '""&amp;$B106&amp;""' and K = ""&amp;$A106,0)),""-""))"),0.0)</f>
        <v>0</v>
      </c>
      <c r="F106" s="439">
        <f>IFERROR(__xludf.DUMMYFUNCTION("""COMPUTED_VALUE"""),0.0)</f>
        <v>0</v>
      </c>
      <c r="G106" s="439">
        <f>IFERROR(__xludf.DUMMYFUNCTION("""COMPUTED_VALUE"""),0.0)</f>
        <v>0</v>
      </c>
      <c r="H106" s="439">
        <f>IFERROR(__xludf.DUMMYFUNCTION("""COMPUTED_VALUE"""),0.0)</f>
        <v>0</v>
      </c>
      <c r="I106" s="439">
        <f>IFERROR(__xludf.DUMMYFUNCTION("""COMPUTED_VALUE"""),0.0)</f>
        <v>0</v>
      </c>
      <c r="J106" s="439">
        <f>IFERROR(__xludf.DUMMYFUNCTION("""COMPUTED_VALUE"""),0.0)</f>
        <v>0</v>
      </c>
      <c r="K106" s="439">
        <f>IFERROR(__xludf.DUMMYFUNCTION("""COMPUTED_VALUE"""),0.0)</f>
        <v>0</v>
      </c>
      <c r="L106" s="439">
        <f>IFERROR(__xludf.DUMMYFUNCTION("""COMPUTED_VALUE"""),0.0)</f>
        <v>0</v>
      </c>
      <c r="M106" s="439">
        <f>IFERROR(__xludf.DUMMYFUNCTION("""COMPUTED_VALUE"""),0.0)</f>
        <v>0</v>
      </c>
      <c r="N106" s="439">
        <f>IFERROR(__xludf.DUMMYFUNCTION("""COMPUTED_VALUE"""),0.0)</f>
        <v>0</v>
      </c>
      <c r="O106" s="439">
        <f>IFERROR(__xludf.DUMMYFUNCTION("""COMPUTED_VALUE"""),134.84)</f>
        <v>134.84</v>
      </c>
      <c r="P106" s="439"/>
      <c r="Q106" s="439"/>
      <c r="R106" s="439"/>
      <c r="S106" s="439"/>
      <c r="T106" s="439"/>
      <c r="U106" s="439"/>
      <c r="V106" s="439"/>
      <c r="W106" s="439"/>
      <c r="X106" s="439"/>
      <c r="Y106" s="439"/>
      <c r="Z106" s="439"/>
      <c r="AA106" s="439"/>
      <c r="AB106" s="21"/>
      <c r="AC106" s="21"/>
      <c r="AD106" s="21"/>
      <c r="AE106" s="370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</row>
    <row r="107">
      <c r="A107" s="433">
        <f>IFERROR(__xludf.DUMMYFUNCTION("""COMPUTED_VALUE"""),416.0)</f>
        <v>416</v>
      </c>
      <c r="B107" s="434" t="str">
        <f>IFERROR(__xludf.DUMMYFUNCTION("""COMPUTED_VALUE"""),"Lucena")</f>
        <v>Lucena</v>
      </c>
      <c r="C107" s="435" t="str">
        <f>IFERROR(__xludf.DUMMYFUNCTION("IF(ISBLANK($B107),"""",query('Saída'!$K$3:$R$505,""Select R where N = '""&amp;$B107&amp;""' and K = ""&amp;$A107,0))"),"Carrefour")</f>
        <v>Carrefour</v>
      </c>
      <c r="D107" s="436"/>
      <c r="E107" s="438">
        <f>IFERROR(__xludf.DUMMYFUNCTION("if(isblank($B107),"""",split(rept(0&amp;""-"",month(query('Saída'!$J$3:$R$505,""Select M where N = '""&amp;$B107&amp;""' and K = ""&amp;$A107,0))-1)&amp;rept(query('Saída'!$J$3:$R$505,""Select Q where N = '""&amp;$B107&amp;""' and K = ""&amp;$A107,0)&amp;""-"",query('Saída'!$J$3:$R$505,""Se"&amp;"lect P where N = '""&amp;$B107&amp;""' and K = ""&amp;$A107,0)),""-""))"),0.0)</f>
        <v>0</v>
      </c>
      <c r="F107" s="439">
        <f>IFERROR(__xludf.DUMMYFUNCTION("""COMPUTED_VALUE"""),0.0)</f>
        <v>0</v>
      </c>
      <c r="G107" s="439">
        <f>IFERROR(__xludf.DUMMYFUNCTION("""COMPUTED_VALUE"""),0.0)</f>
        <v>0</v>
      </c>
      <c r="H107" s="439">
        <f>IFERROR(__xludf.DUMMYFUNCTION("""COMPUTED_VALUE"""),0.0)</f>
        <v>0</v>
      </c>
      <c r="I107" s="439">
        <f>IFERROR(__xludf.DUMMYFUNCTION("""COMPUTED_VALUE"""),0.0)</f>
        <v>0</v>
      </c>
      <c r="J107" s="439">
        <f>IFERROR(__xludf.DUMMYFUNCTION("""COMPUTED_VALUE"""),0.0)</f>
        <v>0</v>
      </c>
      <c r="K107" s="439">
        <f>IFERROR(__xludf.DUMMYFUNCTION("""COMPUTED_VALUE"""),0.0)</f>
        <v>0</v>
      </c>
      <c r="L107" s="439">
        <f>IFERROR(__xludf.DUMMYFUNCTION("""COMPUTED_VALUE"""),0.0)</f>
        <v>0</v>
      </c>
      <c r="M107" s="439">
        <f>IFERROR(__xludf.DUMMYFUNCTION("""COMPUTED_VALUE"""),0.0)</f>
        <v>0</v>
      </c>
      <c r="N107" s="439">
        <f>IFERROR(__xludf.DUMMYFUNCTION("""COMPUTED_VALUE"""),0.0)</f>
        <v>0</v>
      </c>
      <c r="O107" s="439">
        <f>IFERROR(__xludf.DUMMYFUNCTION("""COMPUTED_VALUE"""),116.18)</f>
        <v>116.18</v>
      </c>
      <c r="P107" s="439"/>
      <c r="Q107" s="439"/>
      <c r="R107" s="439"/>
      <c r="S107" s="439"/>
      <c r="T107" s="439"/>
      <c r="U107" s="439"/>
      <c r="V107" s="439"/>
      <c r="W107" s="439"/>
      <c r="X107" s="439"/>
      <c r="Y107" s="439"/>
      <c r="Z107" s="439"/>
      <c r="AA107" s="439"/>
      <c r="AB107" s="21"/>
      <c r="AC107" s="21"/>
      <c r="AD107" s="21"/>
      <c r="AE107" s="370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</row>
    <row r="108">
      <c r="A108" s="433">
        <f>IFERROR(__xludf.DUMMYFUNCTION("""COMPUTED_VALUE"""),417.0)</f>
        <v>417</v>
      </c>
      <c r="B108" s="434" t="str">
        <f>IFERROR(__xludf.DUMMYFUNCTION("""COMPUTED_VALUE"""),"Combustível")</f>
        <v>Combustível</v>
      </c>
      <c r="C108" s="435" t="str">
        <f>IFERROR(__xludf.DUMMYFUNCTION("IF(ISBLANK($B108),"""",query('Saída'!$K$3:$R$505,""Select R where N = '""&amp;$B108&amp;""' and K = ""&amp;$A108,0))"),"Credicard")</f>
        <v>Credicard</v>
      </c>
      <c r="D108" s="436"/>
      <c r="E108" s="438">
        <f>IFERROR(__xludf.DUMMYFUNCTION("if(isblank($B108),"""",split(rept(0&amp;""-"",month(query('Saída'!$J$3:$R$505,""Select M where N = '""&amp;$B108&amp;""' and K = ""&amp;$A108,0))-1)&amp;rept(query('Saída'!$J$3:$R$505,""Select Q where N = '""&amp;$B108&amp;""' and K = ""&amp;$A108,0)&amp;""-"",query('Saída'!$J$3:$R$505,""Se"&amp;"lect P where N = '""&amp;$B108&amp;""' and K = ""&amp;$A108,0)),""-""))"),0.0)</f>
        <v>0</v>
      </c>
      <c r="F108" s="439">
        <f>IFERROR(__xludf.DUMMYFUNCTION("""COMPUTED_VALUE"""),0.0)</f>
        <v>0</v>
      </c>
      <c r="G108" s="439">
        <f>IFERROR(__xludf.DUMMYFUNCTION("""COMPUTED_VALUE"""),0.0)</f>
        <v>0</v>
      </c>
      <c r="H108" s="439">
        <f>IFERROR(__xludf.DUMMYFUNCTION("""COMPUTED_VALUE"""),0.0)</f>
        <v>0</v>
      </c>
      <c r="I108" s="439">
        <f>IFERROR(__xludf.DUMMYFUNCTION("""COMPUTED_VALUE"""),0.0)</f>
        <v>0</v>
      </c>
      <c r="J108" s="439">
        <f>IFERROR(__xludf.DUMMYFUNCTION("""COMPUTED_VALUE"""),0.0)</f>
        <v>0</v>
      </c>
      <c r="K108" s="439">
        <f>IFERROR(__xludf.DUMMYFUNCTION("""COMPUTED_VALUE"""),0.0)</f>
        <v>0</v>
      </c>
      <c r="L108" s="439">
        <f>IFERROR(__xludf.DUMMYFUNCTION("""COMPUTED_VALUE"""),0.0)</f>
        <v>0</v>
      </c>
      <c r="M108" s="439">
        <f>IFERROR(__xludf.DUMMYFUNCTION("""COMPUTED_VALUE"""),0.0)</f>
        <v>0</v>
      </c>
      <c r="N108" s="439">
        <f>IFERROR(__xludf.DUMMYFUNCTION("""COMPUTED_VALUE"""),0.0)</f>
        <v>0</v>
      </c>
      <c r="O108" s="439">
        <f>IFERROR(__xludf.DUMMYFUNCTION("""COMPUTED_VALUE"""),100.0)</f>
        <v>100</v>
      </c>
      <c r="P108" s="439"/>
      <c r="Q108" s="439"/>
      <c r="R108" s="439"/>
      <c r="S108" s="439"/>
      <c r="T108" s="439"/>
      <c r="U108" s="439"/>
      <c r="V108" s="439"/>
      <c r="W108" s="439"/>
      <c r="X108" s="439"/>
      <c r="Y108" s="439"/>
      <c r="Z108" s="439"/>
      <c r="AA108" s="439"/>
      <c r="AB108" s="21"/>
      <c r="AC108" s="21"/>
      <c r="AD108" s="21"/>
      <c r="AE108" s="370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</row>
    <row r="109">
      <c r="A109" s="433">
        <f>IFERROR(__xludf.DUMMYFUNCTION("""COMPUTED_VALUE"""),418.0)</f>
        <v>418</v>
      </c>
      <c r="B109" s="434" t="str">
        <f>IFERROR(__xludf.DUMMYFUNCTION("""COMPUTED_VALUE"""),"Mineirão")</f>
        <v>Mineirão</v>
      </c>
      <c r="C109" s="435" t="str">
        <f>IFERROR(__xludf.DUMMYFUNCTION("IF(ISBLANK($B109),"""",query('Saída'!$K$3:$R$505,""Select R where N = '""&amp;$B109&amp;""' and K = ""&amp;$A109,0))"),"Carrefour")</f>
        <v>Carrefour</v>
      </c>
      <c r="D109" s="436"/>
      <c r="E109" s="438">
        <f>IFERROR(__xludf.DUMMYFUNCTION("if(isblank($B109),"""",split(rept(0&amp;""-"",month(query('Saída'!$J$3:$R$505,""Select M where N = '""&amp;$B109&amp;""' and K = ""&amp;$A109,0))-1)&amp;rept(query('Saída'!$J$3:$R$505,""Select Q where N = '""&amp;$B109&amp;""' and K = ""&amp;$A109,0)&amp;""-"",query('Saída'!$J$3:$R$505,""Se"&amp;"lect P where N = '""&amp;$B109&amp;""' and K = ""&amp;$A109,0)),""-""))"),0.0)</f>
        <v>0</v>
      </c>
      <c r="F109" s="439">
        <f>IFERROR(__xludf.DUMMYFUNCTION("""COMPUTED_VALUE"""),0.0)</f>
        <v>0</v>
      </c>
      <c r="G109" s="439">
        <f>IFERROR(__xludf.DUMMYFUNCTION("""COMPUTED_VALUE"""),0.0)</f>
        <v>0</v>
      </c>
      <c r="H109" s="439">
        <f>IFERROR(__xludf.DUMMYFUNCTION("""COMPUTED_VALUE"""),0.0)</f>
        <v>0</v>
      </c>
      <c r="I109" s="439">
        <f>IFERROR(__xludf.DUMMYFUNCTION("""COMPUTED_VALUE"""),0.0)</f>
        <v>0</v>
      </c>
      <c r="J109" s="439">
        <f>IFERROR(__xludf.DUMMYFUNCTION("""COMPUTED_VALUE"""),0.0)</f>
        <v>0</v>
      </c>
      <c r="K109" s="439">
        <f>IFERROR(__xludf.DUMMYFUNCTION("""COMPUTED_VALUE"""),0.0)</f>
        <v>0</v>
      </c>
      <c r="L109" s="439">
        <f>IFERROR(__xludf.DUMMYFUNCTION("""COMPUTED_VALUE"""),0.0)</f>
        <v>0</v>
      </c>
      <c r="M109" s="439">
        <f>IFERROR(__xludf.DUMMYFUNCTION("""COMPUTED_VALUE"""),0.0)</f>
        <v>0</v>
      </c>
      <c r="N109" s="439">
        <f>IFERROR(__xludf.DUMMYFUNCTION("""COMPUTED_VALUE"""),0.0)</f>
        <v>0</v>
      </c>
      <c r="O109" s="439">
        <f>IFERROR(__xludf.DUMMYFUNCTION("""COMPUTED_VALUE"""),121.14)</f>
        <v>121.14</v>
      </c>
      <c r="P109" s="439"/>
      <c r="Q109" s="439"/>
      <c r="R109" s="439"/>
      <c r="S109" s="439"/>
      <c r="T109" s="439"/>
      <c r="U109" s="439"/>
      <c r="V109" s="439"/>
      <c r="W109" s="439"/>
      <c r="X109" s="439"/>
      <c r="Y109" s="439"/>
      <c r="Z109" s="439"/>
      <c r="AA109" s="439"/>
      <c r="AB109" s="21"/>
      <c r="AC109" s="21"/>
      <c r="AD109" s="21"/>
      <c r="AE109" s="370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</row>
    <row r="110">
      <c r="A110" s="433">
        <f>IFERROR(__xludf.DUMMYFUNCTION("""COMPUTED_VALUE"""),419.0)</f>
        <v>419</v>
      </c>
      <c r="B110" s="434" t="str">
        <f>IFERROR(__xludf.DUMMYFUNCTION("""COMPUTED_VALUE"""),"Carrefour")</f>
        <v>Carrefour</v>
      </c>
      <c r="C110" s="435" t="str">
        <f>IFERROR(__xludf.DUMMYFUNCTION("IF(ISBLANK($B110),"""",query('Saída'!$K$3:$R$505,""Select R where N = '""&amp;$B110&amp;""' and K = ""&amp;$A110,0))"),"Carrefour")</f>
        <v>Carrefour</v>
      </c>
      <c r="D110" s="436"/>
      <c r="E110" s="438">
        <f>IFERROR(__xludf.DUMMYFUNCTION("if(isblank($B110),"""",split(rept(0&amp;""-"",month(query('Saída'!$J$3:$R$505,""Select M where N = '""&amp;$B110&amp;""' and K = ""&amp;$A110,0))-1)&amp;rept(query('Saída'!$J$3:$R$505,""Select Q where N = '""&amp;$B110&amp;""' and K = ""&amp;$A110,0)&amp;""-"",query('Saída'!$J$3:$R$505,""Se"&amp;"lect P where N = '""&amp;$B110&amp;""' and K = ""&amp;$A110,0)),""-""))"),0.0)</f>
        <v>0</v>
      </c>
      <c r="F110" s="439">
        <f>IFERROR(__xludf.DUMMYFUNCTION("""COMPUTED_VALUE"""),0.0)</f>
        <v>0</v>
      </c>
      <c r="G110" s="439">
        <f>IFERROR(__xludf.DUMMYFUNCTION("""COMPUTED_VALUE"""),0.0)</f>
        <v>0</v>
      </c>
      <c r="H110" s="439">
        <f>IFERROR(__xludf.DUMMYFUNCTION("""COMPUTED_VALUE"""),0.0)</f>
        <v>0</v>
      </c>
      <c r="I110" s="439">
        <f>IFERROR(__xludf.DUMMYFUNCTION("""COMPUTED_VALUE"""),0.0)</f>
        <v>0</v>
      </c>
      <c r="J110" s="439">
        <f>IFERROR(__xludf.DUMMYFUNCTION("""COMPUTED_VALUE"""),0.0)</f>
        <v>0</v>
      </c>
      <c r="K110" s="439">
        <f>IFERROR(__xludf.DUMMYFUNCTION("""COMPUTED_VALUE"""),0.0)</f>
        <v>0</v>
      </c>
      <c r="L110" s="439">
        <f>IFERROR(__xludf.DUMMYFUNCTION("""COMPUTED_VALUE"""),0.0)</f>
        <v>0</v>
      </c>
      <c r="M110" s="439">
        <f>IFERROR(__xludf.DUMMYFUNCTION("""COMPUTED_VALUE"""),0.0)</f>
        <v>0</v>
      </c>
      <c r="N110" s="439">
        <f>IFERROR(__xludf.DUMMYFUNCTION("""COMPUTED_VALUE"""),0.0)</f>
        <v>0</v>
      </c>
      <c r="O110" s="439">
        <f>IFERROR(__xludf.DUMMYFUNCTION("""COMPUTED_VALUE"""),105.44)</f>
        <v>105.44</v>
      </c>
      <c r="P110" s="439"/>
      <c r="Q110" s="439"/>
      <c r="R110" s="439"/>
      <c r="S110" s="439"/>
      <c r="T110" s="439"/>
      <c r="U110" s="439"/>
      <c r="V110" s="439"/>
      <c r="W110" s="439"/>
      <c r="X110" s="439"/>
      <c r="Y110" s="439"/>
      <c r="Z110" s="439"/>
      <c r="AA110" s="439"/>
      <c r="AB110" s="21"/>
      <c r="AC110" s="21"/>
      <c r="AD110" s="21"/>
      <c r="AE110" s="370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</row>
    <row r="111">
      <c r="A111" s="433">
        <f>IFERROR(__xludf.DUMMYFUNCTION("""COMPUTED_VALUE"""),420.0)</f>
        <v>420</v>
      </c>
      <c r="B111" s="434" t="str">
        <f>IFERROR(__xludf.DUMMYFUNCTION("""COMPUTED_VALUE"""),"Capa")</f>
        <v>Capa</v>
      </c>
      <c r="C111" s="435" t="str">
        <f>IFERROR(__xludf.DUMMYFUNCTION("IF(ISBLANK($B111),"""",query('Saída'!$K$3:$R$505,""Select R where N = '""&amp;$B111&amp;""' and K = ""&amp;$A111,0))"),"Nubank")</f>
        <v>Nubank</v>
      </c>
      <c r="D111" s="436"/>
      <c r="E111" s="438">
        <f>IFERROR(__xludf.DUMMYFUNCTION("if(isblank($B111),"""",split(rept(0&amp;""-"",month(query('Saída'!$J$3:$R$505,""Select M where N = '""&amp;$B111&amp;""' and K = ""&amp;$A111,0))-1)&amp;rept(query('Saída'!$J$3:$R$505,""Select Q where N = '""&amp;$B111&amp;""' and K = ""&amp;$A111,0)&amp;""-"",query('Saída'!$J$3:$R$505,""Se"&amp;"lect P where N = '""&amp;$B111&amp;""' and K = ""&amp;$A111,0)),""-""))"),0.0)</f>
        <v>0</v>
      </c>
      <c r="F111" s="439">
        <f>IFERROR(__xludf.DUMMYFUNCTION("""COMPUTED_VALUE"""),0.0)</f>
        <v>0</v>
      </c>
      <c r="G111" s="439">
        <f>IFERROR(__xludf.DUMMYFUNCTION("""COMPUTED_VALUE"""),0.0)</f>
        <v>0</v>
      </c>
      <c r="H111" s="439">
        <f>IFERROR(__xludf.DUMMYFUNCTION("""COMPUTED_VALUE"""),0.0)</f>
        <v>0</v>
      </c>
      <c r="I111" s="439">
        <f>IFERROR(__xludf.DUMMYFUNCTION("""COMPUTED_VALUE"""),0.0)</f>
        <v>0</v>
      </c>
      <c r="J111" s="439">
        <f>IFERROR(__xludf.DUMMYFUNCTION("""COMPUTED_VALUE"""),0.0)</f>
        <v>0</v>
      </c>
      <c r="K111" s="439">
        <f>IFERROR(__xludf.DUMMYFUNCTION("""COMPUTED_VALUE"""),0.0)</f>
        <v>0</v>
      </c>
      <c r="L111" s="439">
        <f>IFERROR(__xludf.DUMMYFUNCTION("""COMPUTED_VALUE"""),0.0)</f>
        <v>0</v>
      </c>
      <c r="M111" s="439">
        <f>IFERROR(__xludf.DUMMYFUNCTION("""COMPUTED_VALUE"""),0.0)</f>
        <v>0</v>
      </c>
      <c r="N111" s="439">
        <f>IFERROR(__xludf.DUMMYFUNCTION("""COMPUTED_VALUE"""),0.0)</f>
        <v>0</v>
      </c>
      <c r="O111" s="439">
        <f>IFERROR(__xludf.DUMMYFUNCTION("""COMPUTED_VALUE"""),19.08)</f>
        <v>19.08</v>
      </c>
      <c r="P111" s="439"/>
      <c r="Q111" s="439"/>
      <c r="R111" s="439"/>
      <c r="S111" s="439"/>
      <c r="T111" s="439"/>
      <c r="U111" s="439"/>
      <c r="V111" s="439"/>
      <c r="W111" s="439"/>
      <c r="X111" s="439"/>
      <c r="Y111" s="439"/>
      <c r="Z111" s="439"/>
      <c r="AA111" s="439"/>
      <c r="AB111" s="21"/>
      <c r="AC111" s="21"/>
      <c r="AD111" s="21"/>
      <c r="AE111" s="370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</row>
    <row r="112">
      <c r="A112" s="433">
        <f>IFERROR(__xludf.DUMMYFUNCTION("""COMPUTED_VALUE"""),421.0)</f>
        <v>421</v>
      </c>
      <c r="B112" s="434" t="str">
        <f>IFERROR(__xludf.DUMMYFUNCTION("""COMPUTED_VALUE"""),"Tim")</f>
        <v>Tim</v>
      </c>
      <c r="C112" s="435" t="str">
        <f>IFERROR(__xludf.DUMMYFUNCTION("IF(ISBLANK($B112),"""",query('Saída'!$K$3:$R$505,""Select R where N = '""&amp;$B112&amp;""' and K = ""&amp;$A112,0))"),"Carrefour")</f>
        <v>Carrefour</v>
      </c>
      <c r="D112" s="436"/>
      <c r="E112" s="438">
        <f>IFERROR(__xludf.DUMMYFUNCTION("if(isblank($B112),"""",split(rept(0&amp;""-"",month(query('Saída'!$J$3:$R$505,""Select M where N = '""&amp;$B112&amp;""' and K = ""&amp;$A112,0))-1)&amp;rept(query('Saída'!$J$3:$R$505,""Select Q where N = '""&amp;$B112&amp;""' and K = ""&amp;$A112,0)&amp;""-"",query('Saída'!$J$3:$R$505,""Se"&amp;"lect P where N = '""&amp;$B112&amp;""' and K = ""&amp;$A112,0)),""-""))"),0.0)</f>
        <v>0</v>
      </c>
      <c r="F112" s="439">
        <f>IFERROR(__xludf.DUMMYFUNCTION("""COMPUTED_VALUE"""),0.0)</f>
        <v>0</v>
      </c>
      <c r="G112" s="439">
        <f>IFERROR(__xludf.DUMMYFUNCTION("""COMPUTED_VALUE"""),0.0)</f>
        <v>0</v>
      </c>
      <c r="H112" s="439">
        <f>IFERROR(__xludf.DUMMYFUNCTION("""COMPUTED_VALUE"""),0.0)</f>
        <v>0</v>
      </c>
      <c r="I112" s="439">
        <f>IFERROR(__xludf.DUMMYFUNCTION("""COMPUTED_VALUE"""),0.0)</f>
        <v>0</v>
      </c>
      <c r="J112" s="439">
        <f>IFERROR(__xludf.DUMMYFUNCTION("""COMPUTED_VALUE"""),0.0)</f>
        <v>0</v>
      </c>
      <c r="K112" s="439">
        <f>IFERROR(__xludf.DUMMYFUNCTION("""COMPUTED_VALUE"""),0.0)</f>
        <v>0</v>
      </c>
      <c r="L112" s="439">
        <f>IFERROR(__xludf.DUMMYFUNCTION("""COMPUTED_VALUE"""),0.0)</f>
        <v>0</v>
      </c>
      <c r="M112" s="439">
        <f>IFERROR(__xludf.DUMMYFUNCTION("""COMPUTED_VALUE"""),0.0)</f>
        <v>0</v>
      </c>
      <c r="N112" s="439">
        <f>IFERROR(__xludf.DUMMYFUNCTION("""COMPUTED_VALUE"""),0.0)</f>
        <v>0</v>
      </c>
      <c r="O112" s="439">
        <f>IFERROR(__xludf.DUMMYFUNCTION("""COMPUTED_VALUE"""),15.0)</f>
        <v>15</v>
      </c>
      <c r="P112" s="439"/>
      <c r="Q112" s="439"/>
      <c r="R112" s="439"/>
      <c r="S112" s="439"/>
      <c r="T112" s="439"/>
      <c r="U112" s="439"/>
      <c r="V112" s="439"/>
      <c r="W112" s="439"/>
      <c r="X112" s="439"/>
      <c r="Y112" s="439"/>
      <c r="Z112" s="439"/>
      <c r="AA112" s="439"/>
      <c r="AB112" s="21"/>
      <c r="AC112" s="21"/>
      <c r="AD112" s="21"/>
      <c r="AE112" s="370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</row>
    <row r="113">
      <c r="A113" s="433">
        <f>IFERROR(__xludf.DUMMYFUNCTION("""COMPUTED_VALUE"""),422.0)</f>
        <v>422</v>
      </c>
      <c r="B113" s="434" t="str">
        <f>IFERROR(__xludf.DUMMYFUNCTION("""COMPUTED_VALUE"""),"Jantar")</f>
        <v>Jantar</v>
      </c>
      <c r="C113" s="435" t="str">
        <f>IFERROR(__xludf.DUMMYFUNCTION("IF(ISBLANK($B113),"""",query('Saída'!$K$3:$R$505,""Select R where N = '""&amp;$B113&amp;""' and K = ""&amp;$A113,0))"),"Carrefour")</f>
        <v>Carrefour</v>
      </c>
      <c r="D113" s="436"/>
      <c r="E113" s="438">
        <f>IFERROR(__xludf.DUMMYFUNCTION("if(isblank($B113),"""",split(rept(0&amp;""-"",month(query('Saída'!$J$3:$R$505,""Select M where N = '""&amp;$B113&amp;""' and K = ""&amp;$A113,0))-1)&amp;rept(query('Saída'!$J$3:$R$505,""Select Q where N = '""&amp;$B113&amp;""' and K = ""&amp;$A113,0)&amp;""-"",query('Saída'!$J$3:$R$505,""Se"&amp;"lect P where N = '""&amp;$B113&amp;""' and K = ""&amp;$A113,0)),""-""))"),0.0)</f>
        <v>0</v>
      </c>
      <c r="F113" s="439">
        <f>IFERROR(__xludf.DUMMYFUNCTION("""COMPUTED_VALUE"""),0.0)</f>
        <v>0</v>
      </c>
      <c r="G113" s="439">
        <f>IFERROR(__xludf.DUMMYFUNCTION("""COMPUTED_VALUE"""),0.0)</f>
        <v>0</v>
      </c>
      <c r="H113" s="439">
        <f>IFERROR(__xludf.DUMMYFUNCTION("""COMPUTED_VALUE"""),0.0)</f>
        <v>0</v>
      </c>
      <c r="I113" s="439">
        <f>IFERROR(__xludf.DUMMYFUNCTION("""COMPUTED_VALUE"""),0.0)</f>
        <v>0</v>
      </c>
      <c r="J113" s="439">
        <f>IFERROR(__xludf.DUMMYFUNCTION("""COMPUTED_VALUE"""),0.0)</f>
        <v>0</v>
      </c>
      <c r="K113" s="439">
        <f>IFERROR(__xludf.DUMMYFUNCTION("""COMPUTED_VALUE"""),0.0)</f>
        <v>0</v>
      </c>
      <c r="L113" s="439">
        <f>IFERROR(__xludf.DUMMYFUNCTION("""COMPUTED_VALUE"""),0.0)</f>
        <v>0</v>
      </c>
      <c r="M113" s="439">
        <f>IFERROR(__xludf.DUMMYFUNCTION("""COMPUTED_VALUE"""),0.0)</f>
        <v>0</v>
      </c>
      <c r="N113" s="439">
        <f>IFERROR(__xludf.DUMMYFUNCTION("""COMPUTED_VALUE"""),0.0)</f>
        <v>0</v>
      </c>
      <c r="O113" s="439">
        <f>IFERROR(__xludf.DUMMYFUNCTION("""COMPUTED_VALUE"""),31.38)</f>
        <v>31.38</v>
      </c>
      <c r="P113" s="439"/>
      <c r="Q113" s="439"/>
      <c r="R113" s="439"/>
      <c r="S113" s="439"/>
      <c r="T113" s="439"/>
      <c r="U113" s="439"/>
      <c r="V113" s="439"/>
      <c r="W113" s="439"/>
      <c r="X113" s="439"/>
      <c r="Y113" s="439"/>
      <c r="Z113" s="439"/>
      <c r="AA113" s="439"/>
      <c r="AB113" s="21"/>
      <c r="AC113" s="21"/>
      <c r="AD113" s="21"/>
      <c r="AE113" s="370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</row>
    <row r="114">
      <c r="A114" s="433">
        <f>IFERROR(__xludf.DUMMYFUNCTION("""COMPUTED_VALUE"""),423.0)</f>
        <v>423</v>
      </c>
      <c r="B114" s="434" t="str">
        <f>IFERROR(__xludf.DUMMYFUNCTION("""COMPUTED_VALUE"""),"Passagem Salvador")</f>
        <v>Passagem Salvador</v>
      </c>
      <c r="C114" s="435" t="str">
        <f>IFERROR(__xludf.DUMMYFUNCTION("IF(ISBLANK($B114),"""",query('Saída'!$K$3:$R$505,""Select R where N = '""&amp;$B114&amp;""' and K = ""&amp;$A114,0))"),"Nubank")</f>
        <v>Nubank</v>
      </c>
      <c r="D114" s="436"/>
      <c r="E114" s="438">
        <f>IFERROR(__xludf.DUMMYFUNCTION("if(isblank($B114),"""",split(rept(0&amp;""-"",month(query('Saída'!$J$3:$R$505,""Select M where N = '""&amp;$B114&amp;""' and K = ""&amp;$A114,0))-1)&amp;rept(query('Saída'!$J$3:$R$505,""Select Q where N = '""&amp;$B114&amp;""' and K = ""&amp;$A114,0)&amp;""-"",query('Saída'!$J$3:$R$505,""Se"&amp;"lect P where N = '""&amp;$B114&amp;""' and K = ""&amp;$A114,0)),""-""))"),0.0)</f>
        <v>0</v>
      </c>
      <c r="F114" s="439">
        <f>IFERROR(__xludf.DUMMYFUNCTION("""COMPUTED_VALUE"""),0.0)</f>
        <v>0</v>
      </c>
      <c r="G114" s="439">
        <f>IFERROR(__xludf.DUMMYFUNCTION("""COMPUTED_VALUE"""),0.0)</f>
        <v>0</v>
      </c>
      <c r="H114" s="439">
        <f>IFERROR(__xludf.DUMMYFUNCTION("""COMPUTED_VALUE"""),0.0)</f>
        <v>0</v>
      </c>
      <c r="I114" s="439">
        <f>IFERROR(__xludf.DUMMYFUNCTION("""COMPUTED_VALUE"""),0.0)</f>
        <v>0</v>
      </c>
      <c r="J114" s="439">
        <f>IFERROR(__xludf.DUMMYFUNCTION("""COMPUTED_VALUE"""),0.0)</f>
        <v>0</v>
      </c>
      <c r="K114" s="439">
        <f>IFERROR(__xludf.DUMMYFUNCTION("""COMPUTED_VALUE"""),0.0)</f>
        <v>0</v>
      </c>
      <c r="L114" s="439">
        <f>IFERROR(__xludf.DUMMYFUNCTION("""COMPUTED_VALUE"""),0.0)</f>
        <v>0</v>
      </c>
      <c r="M114" s="439">
        <f>IFERROR(__xludf.DUMMYFUNCTION("""COMPUTED_VALUE"""),0.0)</f>
        <v>0</v>
      </c>
      <c r="N114" s="439">
        <f>IFERROR(__xludf.DUMMYFUNCTION("""COMPUTED_VALUE"""),0.0)</f>
        <v>0</v>
      </c>
      <c r="O114" s="439">
        <f>IFERROR(__xludf.DUMMYFUNCTION("""COMPUTED_VALUE"""),85.93)</f>
        <v>85.93</v>
      </c>
      <c r="P114" s="439">
        <f>IFERROR(__xludf.DUMMYFUNCTION("""COMPUTED_VALUE"""),85.93)</f>
        <v>85.93</v>
      </c>
      <c r="Q114" s="439">
        <f>IFERROR(__xludf.DUMMYFUNCTION("""COMPUTED_VALUE"""),85.93)</f>
        <v>85.93</v>
      </c>
      <c r="R114" s="439">
        <f>IFERROR(__xludf.DUMMYFUNCTION("""COMPUTED_VALUE"""),85.93)</f>
        <v>85.93</v>
      </c>
      <c r="S114" s="439">
        <f>IFERROR(__xludf.DUMMYFUNCTION("""COMPUTED_VALUE"""),85.93)</f>
        <v>85.93</v>
      </c>
      <c r="T114" s="439"/>
      <c r="U114" s="439"/>
      <c r="V114" s="439"/>
      <c r="W114" s="439"/>
      <c r="X114" s="439"/>
      <c r="Y114" s="439"/>
      <c r="Z114" s="439"/>
      <c r="AA114" s="439"/>
      <c r="AB114" s="21"/>
      <c r="AC114" s="21"/>
      <c r="AD114" s="21"/>
      <c r="AE114" s="370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</row>
    <row r="115">
      <c r="A115" s="433">
        <f>IFERROR(__xludf.DUMMYFUNCTION("""COMPUTED_VALUE"""),452.0)</f>
        <v>452</v>
      </c>
      <c r="B115" s="434" t="str">
        <f>IFERROR(__xludf.DUMMYFUNCTION("""COMPUTED_VALUE"""),"Mineirão")</f>
        <v>Mineirão</v>
      </c>
      <c r="C115" s="435" t="str">
        <f>IFERROR(__xludf.DUMMYFUNCTION("IF(ISBLANK($B115),"""",query('Saída'!$K$3:$R$505,""Select R where N = '""&amp;$B115&amp;""' and K = ""&amp;$A115,0))"),"Carrefour")</f>
        <v>Carrefour</v>
      </c>
      <c r="D115" s="436"/>
      <c r="E115" s="438">
        <f>IFERROR(__xludf.DUMMYFUNCTION("if(isblank($B115),"""",split(rept(0&amp;""-"",month(query('Saída'!$J$3:$R$505,""Select M where N = '""&amp;$B115&amp;""' and K = ""&amp;$A115,0))-1)&amp;rept(query('Saída'!$J$3:$R$505,""Select Q where N = '""&amp;$B115&amp;""' and K = ""&amp;$A115,0)&amp;""-"",query('Saída'!$J$3:$R$505,""Se"&amp;"lect P where N = '""&amp;$B115&amp;""' and K = ""&amp;$A115,0)),""-""))"),0.0)</f>
        <v>0</v>
      </c>
      <c r="F115" s="439">
        <f>IFERROR(__xludf.DUMMYFUNCTION("""COMPUTED_VALUE"""),0.0)</f>
        <v>0</v>
      </c>
      <c r="G115" s="439">
        <f>IFERROR(__xludf.DUMMYFUNCTION("""COMPUTED_VALUE"""),0.0)</f>
        <v>0</v>
      </c>
      <c r="H115" s="439">
        <f>IFERROR(__xludf.DUMMYFUNCTION("""COMPUTED_VALUE"""),0.0)</f>
        <v>0</v>
      </c>
      <c r="I115" s="439">
        <f>IFERROR(__xludf.DUMMYFUNCTION("""COMPUTED_VALUE"""),0.0)</f>
        <v>0</v>
      </c>
      <c r="J115" s="439">
        <f>IFERROR(__xludf.DUMMYFUNCTION("""COMPUTED_VALUE"""),0.0)</f>
        <v>0</v>
      </c>
      <c r="K115" s="439">
        <f>IFERROR(__xludf.DUMMYFUNCTION("""COMPUTED_VALUE"""),0.0)</f>
        <v>0</v>
      </c>
      <c r="L115" s="439">
        <f>IFERROR(__xludf.DUMMYFUNCTION("""COMPUTED_VALUE"""),0.0)</f>
        <v>0</v>
      </c>
      <c r="M115" s="439">
        <f>IFERROR(__xludf.DUMMYFUNCTION("""COMPUTED_VALUE"""),0.0)</f>
        <v>0</v>
      </c>
      <c r="N115" s="439">
        <f>IFERROR(__xludf.DUMMYFUNCTION("""COMPUTED_VALUE"""),0.0)</f>
        <v>0</v>
      </c>
      <c r="O115" s="439">
        <f>IFERROR(__xludf.DUMMYFUNCTION("""COMPUTED_VALUE"""),0.0)</f>
        <v>0</v>
      </c>
      <c r="P115" s="439">
        <f>IFERROR(__xludf.DUMMYFUNCTION("""COMPUTED_VALUE"""),81.88)</f>
        <v>81.88</v>
      </c>
      <c r="Q115" s="439"/>
      <c r="R115" s="439"/>
      <c r="S115" s="439"/>
      <c r="T115" s="439"/>
      <c r="U115" s="439"/>
      <c r="V115" s="439"/>
      <c r="W115" s="439"/>
      <c r="X115" s="439"/>
      <c r="Y115" s="439"/>
      <c r="Z115" s="439"/>
      <c r="AA115" s="439"/>
      <c r="AB115" s="21"/>
      <c r="AC115" s="21"/>
      <c r="AD115" s="21"/>
      <c r="AE115" s="370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</row>
    <row r="116">
      <c r="A116" s="433">
        <f>IFERROR(__xludf.DUMMYFUNCTION("""COMPUTED_VALUE"""),453.0)</f>
        <v>453</v>
      </c>
      <c r="B116" s="434" t="str">
        <f>IFERROR(__xludf.DUMMYFUNCTION("""COMPUTED_VALUE"""),"Farmácia")</f>
        <v>Farmácia</v>
      </c>
      <c r="C116" s="435" t="str">
        <f>IFERROR(__xludf.DUMMYFUNCTION("IF(ISBLANK($B116),"""",query('Saída'!$K$3:$R$505,""Select R where N = '""&amp;$B116&amp;""' and K = ""&amp;$A116,0))"),"Carrefour")</f>
        <v>Carrefour</v>
      </c>
      <c r="D116" s="436"/>
      <c r="E116" s="438">
        <f>IFERROR(__xludf.DUMMYFUNCTION("if(isblank($B116),"""",split(rept(0&amp;""-"",month(query('Saída'!$J$3:$R$505,""Select M where N = '""&amp;$B116&amp;""' and K = ""&amp;$A116,0))-1)&amp;rept(query('Saída'!$J$3:$R$505,""Select Q where N = '""&amp;$B116&amp;""' and K = ""&amp;$A116,0)&amp;""-"",query('Saída'!$J$3:$R$505,""Se"&amp;"lect P where N = '""&amp;$B116&amp;""' and K = ""&amp;$A116,0)),""-""))"),0.0)</f>
        <v>0</v>
      </c>
      <c r="F116" s="439">
        <f>IFERROR(__xludf.DUMMYFUNCTION("""COMPUTED_VALUE"""),0.0)</f>
        <v>0</v>
      </c>
      <c r="G116" s="439">
        <f>IFERROR(__xludf.DUMMYFUNCTION("""COMPUTED_VALUE"""),0.0)</f>
        <v>0</v>
      </c>
      <c r="H116" s="439">
        <f>IFERROR(__xludf.DUMMYFUNCTION("""COMPUTED_VALUE"""),0.0)</f>
        <v>0</v>
      </c>
      <c r="I116" s="439">
        <f>IFERROR(__xludf.DUMMYFUNCTION("""COMPUTED_VALUE"""),0.0)</f>
        <v>0</v>
      </c>
      <c r="J116" s="439">
        <f>IFERROR(__xludf.DUMMYFUNCTION("""COMPUTED_VALUE"""),0.0)</f>
        <v>0</v>
      </c>
      <c r="K116" s="439">
        <f>IFERROR(__xludf.DUMMYFUNCTION("""COMPUTED_VALUE"""),0.0)</f>
        <v>0</v>
      </c>
      <c r="L116" s="439">
        <f>IFERROR(__xludf.DUMMYFUNCTION("""COMPUTED_VALUE"""),0.0)</f>
        <v>0</v>
      </c>
      <c r="M116" s="439">
        <f>IFERROR(__xludf.DUMMYFUNCTION("""COMPUTED_VALUE"""),0.0)</f>
        <v>0</v>
      </c>
      <c r="N116" s="439">
        <f>IFERROR(__xludf.DUMMYFUNCTION("""COMPUTED_VALUE"""),0.0)</f>
        <v>0</v>
      </c>
      <c r="O116" s="439">
        <f>IFERROR(__xludf.DUMMYFUNCTION("""COMPUTED_VALUE"""),0.0)</f>
        <v>0</v>
      </c>
      <c r="P116" s="439">
        <f>IFERROR(__xludf.DUMMYFUNCTION("""COMPUTED_VALUE"""),7.9)</f>
        <v>7.9</v>
      </c>
      <c r="Q116" s="439"/>
      <c r="R116" s="439"/>
      <c r="S116" s="439"/>
      <c r="T116" s="439"/>
      <c r="U116" s="439"/>
      <c r="V116" s="439"/>
      <c r="W116" s="439"/>
      <c r="X116" s="439"/>
      <c r="Y116" s="439"/>
      <c r="Z116" s="439"/>
      <c r="AA116" s="439"/>
      <c r="AB116" s="21"/>
      <c r="AC116" s="21"/>
      <c r="AD116" s="21"/>
      <c r="AE116" s="370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</row>
    <row r="117">
      <c r="A117" s="433">
        <f>IFERROR(__xludf.DUMMYFUNCTION("""COMPUTED_VALUE"""),454.0)</f>
        <v>454</v>
      </c>
      <c r="B117" s="434" t="str">
        <f>IFERROR(__xludf.DUMMYFUNCTION("""COMPUTED_VALUE"""),"Mineirão")</f>
        <v>Mineirão</v>
      </c>
      <c r="C117" s="435" t="str">
        <f>IFERROR(__xludf.DUMMYFUNCTION("IF(ISBLANK($B117),"""",query('Saída'!$K$3:$R$505,""Select R where N = '""&amp;$B117&amp;""' and K = ""&amp;$A117,0))"),"Carrefour")</f>
        <v>Carrefour</v>
      </c>
      <c r="D117" s="436"/>
      <c r="E117" s="438">
        <f>IFERROR(__xludf.DUMMYFUNCTION("if(isblank($B117),"""",split(rept(0&amp;""-"",month(query('Saída'!$J$3:$R$505,""Select M where N = '""&amp;$B117&amp;""' and K = ""&amp;$A117,0))-1)&amp;rept(query('Saída'!$J$3:$R$505,""Select Q where N = '""&amp;$B117&amp;""' and K = ""&amp;$A117,0)&amp;""-"",query('Saída'!$J$3:$R$505,""Se"&amp;"lect P where N = '""&amp;$B117&amp;""' and K = ""&amp;$A117,0)),""-""))"),0.0)</f>
        <v>0</v>
      </c>
      <c r="F117" s="439">
        <f>IFERROR(__xludf.DUMMYFUNCTION("""COMPUTED_VALUE"""),0.0)</f>
        <v>0</v>
      </c>
      <c r="G117" s="439">
        <f>IFERROR(__xludf.DUMMYFUNCTION("""COMPUTED_VALUE"""),0.0)</f>
        <v>0</v>
      </c>
      <c r="H117" s="439">
        <f>IFERROR(__xludf.DUMMYFUNCTION("""COMPUTED_VALUE"""),0.0)</f>
        <v>0</v>
      </c>
      <c r="I117" s="439">
        <f>IFERROR(__xludf.DUMMYFUNCTION("""COMPUTED_VALUE"""),0.0)</f>
        <v>0</v>
      </c>
      <c r="J117" s="439">
        <f>IFERROR(__xludf.DUMMYFUNCTION("""COMPUTED_VALUE"""),0.0)</f>
        <v>0</v>
      </c>
      <c r="K117" s="439">
        <f>IFERROR(__xludf.DUMMYFUNCTION("""COMPUTED_VALUE"""),0.0)</f>
        <v>0</v>
      </c>
      <c r="L117" s="439">
        <f>IFERROR(__xludf.DUMMYFUNCTION("""COMPUTED_VALUE"""),0.0)</f>
        <v>0</v>
      </c>
      <c r="M117" s="439">
        <f>IFERROR(__xludf.DUMMYFUNCTION("""COMPUTED_VALUE"""),0.0)</f>
        <v>0</v>
      </c>
      <c r="N117" s="439">
        <f>IFERROR(__xludf.DUMMYFUNCTION("""COMPUTED_VALUE"""),0.0)</f>
        <v>0</v>
      </c>
      <c r="O117" s="439">
        <f>IFERROR(__xludf.DUMMYFUNCTION("""COMPUTED_VALUE"""),0.0)</f>
        <v>0</v>
      </c>
      <c r="P117" s="439">
        <f>IFERROR(__xludf.DUMMYFUNCTION("""COMPUTED_VALUE"""),246.91)</f>
        <v>246.91</v>
      </c>
      <c r="Q117" s="439"/>
      <c r="R117" s="439"/>
      <c r="S117" s="439"/>
      <c r="T117" s="439"/>
      <c r="U117" s="439"/>
      <c r="V117" s="439"/>
      <c r="W117" s="439"/>
      <c r="X117" s="439"/>
      <c r="Y117" s="439"/>
      <c r="Z117" s="439"/>
      <c r="AA117" s="439"/>
      <c r="AB117" s="21"/>
      <c r="AC117" s="21"/>
      <c r="AD117" s="21"/>
      <c r="AE117" s="370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</row>
    <row r="118">
      <c r="A118" s="433">
        <f>IFERROR(__xludf.DUMMYFUNCTION("""COMPUTED_VALUE"""),455.0)</f>
        <v>455</v>
      </c>
      <c r="B118" s="434" t="str">
        <f>IFERROR(__xludf.DUMMYFUNCTION("""COMPUTED_VALUE"""),"Lucena")</f>
        <v>Lucena</v>
      </c>
      <c r="C118" s="435" t="str">
        <f>IFERROR(__xludf.DUMMYFUNCTION("IF(ISBLANK($B118),"""",query('Saída'!$K$3:$R$505,""Select R where N = '""&amp;$B118&amp;""' and K = ""&amp;$A118,0))"),"Carrefour")</f>
        <v>Carrefour</v>
      </c>
      <c r="D118" s="436"/>
      <c r="E118" s="438">
        <f>IFERROR(__xludf.DUMMYFUNCTION("if(isblank($B118),"""",split(rept(0&amp;""-"",month(query('Saída'!$J$3:$R$505,""Select M where N = '""&amp;$B118&amp;""' and K = ""&amp;$A118,0))-1)&amp;rept(query('Saída'!$J$3:$R$505,""Select Q where N = '""&amp;$B118&amp;""' and K = ""&amp;$A118,0)&amp;""-"",query('Saída'!$J$3:$R$505,""Se"&amp;"lect P where N = '""&amp;$B118&amp;""' and K = ""&amp;$A118,0)),""-""))"),0.0)</f>
        <v>0</v>
      </c>
      <c r="F118" s="439">
        <f>IFERROR(__xludf.DUMMYFUNCTION("""COMPUTED_VALUE"""),0.0)</f>
        <v>0</v>
      </c>
      <c r="G118" s="439">
        <f>IFERROR(__xludf.DUMMYFUNCTION("""COMPUTED_VALUE"""),0.0)</f>
        <v>0</v>
      </c>
      <c r="H118" s="439">
        <f>IFERROR(__xludf.DUMMYFUNCTION("""COMPUTED_VALUE"""),0.0)</f>
        <v>0</v>
      </c>
      <c r="I118" s="439">
        <f>IFERROR(__xludf.DUMMYFUNCTION("""COMPUTED_VALUE"""),0.0)</f>
        <v>0</v>
      </c>
      <c r="J118" s="439">
        <f>IFERROR(__xludf.DUMMYFUNCTION("""COMPUTED_VALUE"""),0.0)</f>
        <v>0</v>
      </c>
      <c r="K118" s="439">
        <f>IFERROR(__xludf.DUMMYFUNCTION("""COMPUTED_VALUE"""),0.0)</f>
        <v>0</v>
      </c>
      <c r="L118" s="439">
        <f>IFERROR(__xludf.DUMMYFUNCTION("""COMPUTED_VALUE"""),0.0)</f>
        <v>0</v>
      </c>
      <c r="M118" s="439">
        <f>IFERROR(__xludf.DUMMYFUNCTION("""COMPUTED_VALUE"""),0.0)</f>
        <v>0</v>
      </c>
      <c r="N118" s="439">
        <f>IFERROR(__xludf.DUMMYFUNCTION("""COMPUTED_VALUE"""),0.0)</f>
        <v>0</v>
      </c>
      <c r="O118" s="439">
        <f>IFERROR(__xludf.DUMMYFUNCTION("""COMPUTED_VALUE"""),0.0)</f>
        <v>0</v>
      </c>
      <c r="P118" s="439">
        <f>IFERROR(__xludf.DUMMYFUNCTION("""COMPUTED_VALUE"""),35.26)</f>
        <v>35.26</v>
      </c>
      <c r="Q118" s="439"/>
      <c r="R118" s="439"/>
      <c r="S118" s="439"/>
      <c r="T118" s="439"/>
      <c r="U118" s="439"/>
      <c r="V118" s="439"/>
      <c r="W118" s="439"/>
      <c r="X118" s="439"/>
      <c r="Y118" s="439"/>
      <c r="Z118" s="439"/>
      <c r="AA118" s="439"/>
      <c r="AB118" s="21"/>
      <c r="AC118" s="21"/>
      <c r="AD118" s="21"/>
      <c r="AE118" s="370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</row>
    <row r="119">
      <c r="A119" s="433">
        <f>IFERROR(__xludf.DUMMYFUNCTION("""COMPUTED_VALUE"""),456.0)</f>
        <v>456</v>
      </c>
      <c r="B119" s="434" t="str">
        <f>IFERROR(__xludf.DUMMYFUNCTION("""COMPUTED_VALUE"""),"Essência de pizza")</f>
        <v>Essência de pizza</v>
      </c>
      <c r="C119" s="435" t="str">
        <f>IFERROR(__xludf.DUMMYFUNCTION("IF(ISBLANK($B119),"""",query('Saída'!$K$3:$R$505,""Select R where N = '""&amp;$B119&amp;""' and K = ""&amp;$A119,0))"),"Nubank")</f>
        <v>Nubank</v>
      </c>
      <c r="D119" s="436"/>
      <c r="E119" s="438">
        <f>IFERROR(__xludf.DUMMYFUNCTION("if(isblank($B119),"""",split(rept(0&amp;""-"",month(query('Saída'!$J$3:$R$505,""Select M where N = '""&amp;$B119&amp;""' and K = ""&amp;$A119,0))-1)&amp;rept(query('Saída'!$J$3:$R$505,""Select Q where N = '""&amp;$B119&amp;""' and K = ""&amp;$A119,0)&amp;""-"",query('Saída'!$J$3:$R$505,""Se"&amp;"lect P where N = '""&amp;$B119&amp;""' and K = ""&amp;$A119,0)),""-""))"),0.0)</f>
        <v>0</v>
      </c>
      <c r="F119" s="439">
        <f>IFERROR(__xludf.DUMMYFUNCTION("""COMPUTED_VALUE"""),0.0)</f>
        <v>0</v>
      </c>
      <c r="G119" s="439">
        <f>IFERROR(__xludf.DUMMYFUNCTION("""COMPUTED_VALUE"""),0.0)</f>
        <v>0</v>
      </c>
      <c r="H119" s="439">
        <f>IFERROR(__xludf.DUMMYFUNCTION("""COMPUTED_VALUE"""),0.0)</f>
        <v>0</v>
      </c>
      <c r="I119" s="439">
        <f>IFERROR(__xludf.DUMMYFUNCTION("""COMPUTED_VALUE"""),0.0)</f>
        <v>0</v>
      </c>
      <c r="J119" s="439">
        <f>IFERROR(__xludf.DUMMYFUNCTION("""COMPUTED_VALUE"""),0.0)</f>
        <v>0</v>
      </c>
      <c r="K119" s="439">
        <f>IFERROR(__xludf.DUMMYFUNCTION("""COMPUTED_VALUE"""),0.0)</f>
        <v>0</v>
      </c>
      <c r="L119" s="439">
        <f>IFERROR(__xludf.DUMMYFUNCTION("""COMPUTED_VALUE"""),0.0)</f>
        <v>0</v>
      </c>
      <c r="M119" s="439">
        <f>IFERROR(__xludf.DUMMYFUNCTION("""COMPUTED_VALUE"""),0.0)</f>
        <v>0</v>
      </c>
      <c r="N119" s="439">
        <f>IFERROR(__xludf.DUMMYFUNCTION("""COMPUTED_VALUE"""),0.0)</f>
        <v>0</v>
      </c>
      <c r="O119" s="439">
        <f>IFERROR(__xludf.DUMMYFUNCTION("""COMPUTED_VALUE"""),0.0)</f>
        <v>0</v>
      </c>
      <c r="P119" s="439">
        <f>IFERROR(__xludf.DUMMYFUNCTION("""COMPUTED_VALUE"""),60.0)</f>
        <v>60</v>
      </c>
      <c r="Q119" s="439"/>
      <c r="R119" s="439"/>
      <c r="S119" s="439"/>
      <c r="T119" s="439"/>
      <c r="U119" s="439"/>
      <c r="V119" s="439"/>
      <c r="W119" s="439"/>
      <c r="X119" s="439"/>
      <c r="Y119" s="439"/>
      <c r="Z119" s="439"/>
      <c r="AA119" s="439"/>
      <c r="AB119" s="21"/>
      <c r="AC119" s="21"/>
      <c r="AD119" s="21"/>
      <c r="AE119" s="370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</row>
    <row r="120">
      <c r="A120" s="433">
        <f>IFERROR(__xludf.DUMMYFUNCTION("""COMPUTED_VALUE"""),457.0)</f>
        <v>457</v>
      </c>
      <c r="B120" s="434" t="str">
        <f>IFERROR(__xludf.DUMMYFUNCTION("""COMPUTED_VALUE"""),"Carrefour")</f>
        <v>Carrefour</v>
      </c>
      <c r="C120" s="435" t="str">
        <f>IFERROR(__xludf.DUMMYFUNCTION("IF(ISBLANK($B120),"""",query('Saída'!$K$3:$R$505,""Select R where N = '""&amp;$B120&amp;""' and K = ""&amp;$A120,0))"),"Carrefour")</f>
        <v>Carrefour</v>
      </c>
      <c r="D120" s="436"/>
      <c r="E120" s="438">
        <f>IFERROR(__xludf.DUMMYFUNCTION("if(isblank($B120),"""",split(rept(0&amp;""-"",month(query('Saída'!$J$3:$R$505,""Select M where N = '""&amp;$B120&amp;""' and K = ""&amp;$A120,0))-1)&amp;rept(query('Saída'!$J$3:$R$505,""Select Q where N = '""&amp;$B120&amp;""' and K = ""&amp;$A120,0)&amp;""-"",query('Saída'!$J$3:$R$505,""Se"&amp;"lect P where N = '""&amp;$B120&amp;""' and K = ""&amp;$A120,0)),""-""))"),0.0)</f>
        <v>0</v>
      </c>
      <c r="F120" s="439">
        <f>IFERROR(__xludf.DUMMYFUNCTION("""COMPUTED_VALUE"""),0.0)</f>
        <v>0</v>
      </c>
      <c r="G120" s="439">
        <f>IFERROR(__xludf.DUMMYFUNCTION("""COMPUTED_VALUE"""),0.0)</f>
        <v>0</v>
      </c>
      <c r="H120" s="439">
        <f>IFERROR(__xludf.DUMMYFUNCTION("""COMPUTED_VALUE"""),0.0)</f>
        <v>0</v>
      </c>
      <c r="I120" s="439">
        <f>IFERROR(__xludf.DUMMYFUNCTION("""COMPUTED_VALUE"""),0.0)</f>
        <v>0</v>
      </c>
      <c r="J120" s="439">
        <f>IFERROR(__xludf.DUMMYFUNCTION("""COMPUTED_VALUE"""),0.0)</f>
        <v>0</v>
      </c>
      <c r="K120" s="439">
        <f>IFERROR(__xludf.DUMMYFUNCTION("""COMPUTED_VALUE"""),0.0)</f>
        <v>0</v>
      </c>
      <c r="L120" s="439">
        <f>IFERROR(__xludf.DUMMYFUNCTION("""COMPUTED_VALUE"""),0.0)</f>
        <v>0</v>
      </c>
      <c r="M120" s="439">
        <f>IFERROR(__xludf.DUMMYFUNCTION("""COMPUTED_VALUE"""),0.0)</f>
        <v>0</v>
      </c>
      <c r="N120" s="439">
        <f>IFERROR(__xludf.DUMMYFUNCTION("""COMPUTED_VALUE"""),0.0)</f>
        <v>0</v>
      </c>
      <c r="O120" s="439">
        <f>IFERROR(__xludf.DUMMYFUNCTION("""COMPUTED_VALUE"""),0.0)</f>
        <v>0</v>
      </c>
      <c r="P120" s="439">
        <f>IFERROR(__xludf.DUMMYFUNCTION("""COMPUTED_VALUE"""),29.2)</f>
        <v>29.2</v>
      </c>
      <c r="Q120" s="439"/>
      <c r="R120" s="439"/>
      <c r="S120" s="439"/>
      <c r="T120" s="439"/>
      <c r="U120" s="439"/>
      <c r="V120" s="439"/>
      <c r="W120" s="439"/>
      <c r="X120" s="439"/>
      <c r="Y120" s="439"/>
      <c r="Z120" s="439"/>
      <c r="AA120" s="439"/>
      <c r="AB120" s="21"/>
      <c r="AC120" s="21"/>
      <c r="AD120" s="21"/>
      <c r="AE120" s="370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</row>
    <row r="121">
      <c r="A121" s="433">
        <f>IFERROR(__xludf.DUMMYFUNCTION("""COMPUTED_VALUE"""),458.0)</f>
        <v>458</v>
      </c>
      <c r="B121" s="434" t="str">
        <f>IFERROR(__xludf.DUMMYFUNCTION("""COMPUTED_VALUE"""),"Carrefour")</f>
        <v>Carrefour</v>
      </c>
      <c r="C121" s="435" t="str">
        <f>IFERROR(__xludf.DUMMYFUNCTION("IF(ISBLANK($B121),"""",query('Saída'!$K$3:$R$505,""Select R where N = '""&amp;$B121&amp;""' and K = ""&amp;$A121,0))"),"Carrefour")</f>
        <v>Carrefour</v>
      </c>
      <c r="D121" s="436"/>
      <c r="E121" s="438">
        <f>IFERROR(__xludf.DUMMYFUNCTION("if(isblank($B121),"""",split(rept(0&amp;""-"",month(query('Saída'!$J$3:$R$505,""Select M where N = '""&amp;$B121&amp;""' and K = ""&amp;$A121,0))-1)&amp;rept(query('Saída'!$J$3:$R$505,""Select Q where N = '""&amp;$B121&amp;""' and K = ""&amp;$A121,0)&amp;""-"",query('Saída'!$J$3:$R$505,""Se"&amp;"lect P where N = '""&amp;$B121&amp;""' and K = ""&amp;$A121,0)),""-""))"),0.0)</f>
        <v>0</v>
      </c>
      <c r="F121" s="439">
        <f>IFERROR(__xludf.DUMMYFUNCTION("""COMPUTED_VALUE"""),0.0)</f>
        <v>0</v>
      </c>
      <c r="G121" s="439">
        <f>IFERROR(__xludf.DUMMYFUNCTION("""COMPUTED_VALUE"""),0.0)</f>
        <v>0</v>
      </c>
      <c r="H121" s="439">
        <f>IFERROR(__xludf.DUMMYFUNCTION("""COMPUTED_VALUE"""),0.0)</f>
        <v>0</v>
      </c>
      <c r="I121" s="439">
        <f>IFERROR(__xludf.DUMMYFUNCTION("""COMPUTED_VALUE"""),0.0)</f>
        <v>0</v>
      </c>
      <c r="J121" s="439">
        <f>IFERROR(__xludf.DUMMYFUNCTION("""COMPUTED_VALUE"""),0.0)</f>
        <v>0</v>
      </c>
      <c r="K121" s="439">
        <f>IFERROR(__xludf.DUMMYFUNCTION("""COMPUTED_VALUE"""),0.0)</f>
        <v>0</v>
      </c>
      <c r="L121" s="439">
        <f>IFERROR(__xludf.DUMMYFUNCTION("""COMPUTED_VALUE"""),0.0)</f>
        <v>0</v>
      </c>
      <c r="M121" s="439">
        <f>IFERROR(__xludf.DUMMYFUNCTION("""COMPUTED_VALUE"""),0.0)</f>
        <v>0</v>
      </c>
      <c r="N121" s="439">
        <f>IFERROR(__xludf.DUMMYFUNCTION("""COMPUTED_VALUE"""),0.0)</f>
        <v>0</v>
      </c>
      <c r="O121" s="439">
        <f>IFERROR(__xludf.DUMMYFUNCTION("""COMPUTED_VALUE"""),0.0)</f>
        <v>0</v>
      </c>
      <c r="P121" s="439">
        <f>IFERROR(__xludf.DUMMYFUNCTION("""COMPUTED_VALUE"""),60.0)</f>
        <v>60</v>
      </c>
      <c r="Q121" s="439"/>
      <c r="R121" s="439"/>
      <c r="S121" s="439"/>
      <c r="T121" s="439"/>
      <c r="U121" s="439"/>
      <c r="V121" s="439"/>
      <c r="W121" s="439"/>
      <c r="X121" s="439"/>
      <c r="Y121" s="439"/>
      <c r="Z121" s="439"/>
      <c r="AA121" s="439"/>
      <c r="AB121" s="21"/>
      <c r="AC121" s="21"/>
      <c r="AD121" s="21"/>
      <c r="AE121" s="370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</row>
    <row r="122">
      <c r="A122" s="433">
        <f>IFERROR(__xludf.DUMMYFUNCTION("""COMPUTED_VALUE"""),459.0)</f>
        <v>459</v>
      </c>
      <c r="B122" s="434" t="str">
        <f>IFERROR(__xludf.DUMMYFUNCTION("""COMPUTED_VALUE"""),"Almoço")</f>
        <v>Almoço</v>
      </c>
      <c r="C122" s="435" t="str">
        <f>IFERROR(__xludf.DUMMYFUNCTION("IF(ISBLANK($B122),"""",query('Saída'!$K$3:$R$505,""Select R where N = '""&amp;$B122&amp;""' and K = ""&amp;$A122,0))"),"Credicard")</f>
        <v>Credicard</v>
      </c>
      <c r="D122" s="436"/>
      <c r="E122" s="438">
        <f>IFERROR(__xludf.DUMMYFUNCTION("if(isblank($B122),"""",split(rept(0&amp;""-"",month(query('Saída'!$J$3:$R$505,""Select M where N = '""&amp;$B122&amp;""' and K = ""&amp;$A122,0))-1)&amp;rept(query('Saída'!$J$3:$R$505,""Select Q where N = '""&amp;$B122&amp;""' and K = ""&amp;$A122,0)&amp;""-"",query('Saída'!$J$3:$R$505,""Se"&amp;"lect P where N = '""&amp;$B122&amp;""' and K = ""&amp;$A122,0)),""-""))"),0.0)</f>
        <v>0</v>
      </c>
      <c r="F122" s="439">
        <f>IFERROR(__xludf.DUMMYFUNCTION("""COMPUTED_VALUE"""),0.0)</f>
        <v>0</v>
      </c>
      <c r="G122" s="439">
        <f>IFERROR(__xludf.DUMMYFUNCTION("""COMPUTED_VALUE"""),0.0)</f>
        <v>0</v>
      </c>
      <c r="H122" s="439">
        <f>IFERROR(__xludf.DUMMYFUNCTION("""COMPUTED_VALUE"""),0.0)</f>
        <v>0</v>
      </c>
      <c r="I122" s="439">
        <f>IFERROR(__xludf.DUMMYFUNCTION("""COMPUTED_VALUE"""),0.0)</f>
        <v>0</v>
      </c>
      <c r="J122" s="439">
        <f>IFERROR(__xludf.DUMMYFUNCTION("""COMPUTED_VALUE"""),0.0)</f>
        <v>0</v>
      </c>
      <c r="K122" s="439">
        <f>IFERROR(__xludf.DUMMYFUNCTION("""COMPUTED_VALUE"""),0.0)</f>
        <v>0</v>
      </c>
      <c r="L122" s="439">
        <f>IFERROR(__xludf.DUMMYFUNCTION("""COMPUTED_VALUE"""),0.0)</f>
        <v>0</v>
      </c>
      <c r="M122" s="439">
        <f>IFERROR(__xludf.DUMMYFUNCTION("""COMPUTED_VALUE"""),0.0)</f>
        <v>0</v>
      </c>
      <c r="N122" s="439">
        <f>IFERROR(__xludf.DUMMYFUNCTION("""COMPUTED_VALUE"""),0.0)</f>
        <v>0</v>
      </c>
      <c r="O122" s="439">
        <f>IFERROR(__xludf.DUMMYFUNCTION("""COMPUTED_VALUE"""),0.0)</f>
        <v>0</v>
      </c>
      <c r="P122" s="439">
        <f>IFERROR(__xludf.DUMMYFUNCTION("""COMPUTED_VALUE"""),51.79)</f>
        <v>51.79</v>
      </c>
      <c r="Q122" s="439"/>
      <c r="R122" s="439"/>
      <c r="S122" s="439"/>
      <c r="T122" s="439"/>
      <c r="U122" s="439"/>
      <c r="V122" s="439"/>
      <c r="W122" s="439"/>
      <c r="X122" s="439"/>
      <c r="Y122" s="439"/>
      <c r="Z122" s="439"/>
      <c r="AA122" s="439"/>
      <c r="AB122" s="21"/>
      <c r="AC122" s="21"/>
      <c r="AD122" s="21"/>
      <c r="AE122" s="370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</row>
    <row r="123">
      <c r="A123" s="433">
        <f>IFERROR(__xludf.DUMMYFUNCTION("""COMPUTED_VALUE"""),460.0)</f>
        <v>460</v>
      </c>
      <c r="B123" s="434" t="str">
        <f>IFERROR(__xludf.DUMMYFUNCTION("""COMPUTED_VALUE"""),"Combustível")</f>
        <v>Combustível</v>
      </c>
      <c r="C123" s="435" t="str">
        <f>IFERROR(__xludf.DUMMYFUNCTION("IF(ISBLANK($B123),"""",query('Saída'!$K$3:$R$505,""Select R where N = '""&amp;$B123&amp;""' and K = ""&amp;$A123,0))"),"Credicard")</f>
        <v>Credicard</v>
      </c>
      <c r="D123" s="436"/>
      <c r="E123" s="438">
        <f>IFERROR(__xludf.DUMMYFUNCTION("if(isblank($B123),"""",split(rept(0&amp;""-"",month(query('Saída'!$J$3:$R$505,""Select M where N = '""&amp;$B123&amp;""' and K = ""&amp;$A123,0))-1)&amp;rept(query('Saída'!$J$3:$R$505,""Select Q where N = '""&amp;$B123&amp;""' and K = ""&amp;$A123,0)&amp;""-"",query('Saída'!$J$3:$R$505,""Se"&amp;"lect P where N = '""&amp;$B123&amp;""' and K = ""&amp;$A123,0)),""-""))"),0.0)</f>
        <v>0</v>
      </c>
      <c r="F123" s="439">
        <f>IFERROR(__xludf.DUMMYFUNCTION("""COMPUTED_VALUE"""),0.0)</f>
        <v>0</v>
      </c>
      <c r="G123" s="439">
        <f>IFERROR(__xludf.DUMMYFUNCTION("""COMPUTED_VALUE"""),0.0)</f>
        <v>0</v>
      </c>
      <c r="H123" s="439">
        <f>IFERROR(__xludf.DUMMYFUNCTION("""COMPUTED_VALUE"""),0.0)</f>
        <v>0</v>
      </c>
      <c r="I123" s="439">
        <f>IFERROR(__xludf.DUMMYFUNCTION("""COMPUTED_VALUE"""),0.0)</f>
        <v>0</v>
      </c>
      <c r="J123" s="439">
        <f>IFERROR(__xludf.DUMMYFUNCTION("""COMPUTED_VALUE"""),0.0)</f>
        <v>0</v>
      </c>
      <c r="K123" s="439">
        <f>IFERROR(__xludf.DUMMYFUNCTION("""COMPUTED_VALUE"""),0.0)</f>
        <v>0</v>
      </c>
      <c r="L123" s="439">
        <f>IFERROR(__xludf.DUMMYFUNCTION("""COMPUTED_VALUE"""),0.0)</f>
        <v>0</v>
      </c>
      <c r="M123" s="439">
        <f>IFERROR(__xludf.DUMMYFUNCTION("""COMPUTED_VALUE"""),0.0)</f>
        <v>0</v>
      </c>
      <c r="N123" s="439">
        <f>IFERROR(__xludf.DUMMYFUNCTION("""COMPUTED_VALUE"""),0.0)</f>
        <v>0</v>
      </c>
      <c r="O123" s="439">
        <f>IFERROR(__xludf.DUMMYFUNCTION("""COMPUTED_VALUE"""),0.0)</f>
        <v>0</v>
      </c>
      <c r="P123" s="439">
        <f>IFERROR(__xludf.DUMMYFUNCTION("""COMPUTED_VALUE"""),178.49)</f>
        <v>178.49</v>
      </c>
      <c r="Q123" s="439"/>
      <c r="R123" s="439"/>
      <c r="S123" s="439"/>
      <c r="T123" s="439"/>
      <c r="U123" s="439"/>
      <c r="V123" s="439"/>
      <c r="W123" s="439"/>
      <c r="X123" s="439"/>
      <c r="Y123" s="439"/>
      <c r="Z123" s="439"/>
      <c r="AA123" s="439"/>
      <c r="AB123" s="21"/>
      <c r="AC123" s="21"/>
      <c r="AD123" s="21"/>
      <c r="AE123" s="370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</row>
    <row r="124">
      <c r="A124" s="440"/>
      <c r="B124" s="434"/>
      <c r="C124" s="435" t="str">
        <f>IFERROR(__xludf.DUMMYFUNCTION("IF(ISBLANK($B124),"""",query('Saída'!$K$3:$R$505,""Select R where N = '""&amp;$B124&amp;""' and K = ""&amp;$A124,0))"),"")</f>
        <v/>
      </c>
      <c r="D124" s="436"/>
      <c r="E124" s="438" t="str">
        <f>IFERROR(__xludf.DUMMYFUNCTION("if(isblank($B124),"""",split(rept(0&amp;""-"",month(query('Saída'!$J$3:$R$505,""Select M where N = '""&amp;$B124&amp;""' and K = ""&amp;$A124,0))-1)&amp;rept(query('Saída'!$J$3:$R$505,""Select Q where N = '""&amp;$B124&amp;""' and K = ""&amp;$A124,0)&amp;""-"",query('Saída'!$J$3:$R$505,""Se"&amp;"lect P where N = '""&amp;$B124&amp;""' and K = ""&amp;$A124,0)),""-""))"),"  ")</f>
        <v/>
      </c>
      <c r="F124" s="439"/>
      <c r="G124" s="439"/>
      <c r="H124" s="439"/>
      <c r="I124" s="439"/>
      <c r="J124" s="439"/>
      <c r="K124" s="439"/>
      <c r="L124" s="439"/>
      <c r="M124" s="439"/>
      <c r="N124" s="439"/>
      <c r="O124" s="439"/>
      <c r="P124" s="439"/>
      <c r="Q124" s="439"/>
      <c r="R124" s="439"/>
      <c r="S124" s="439"/>
      <c r="T124" s="439"/>
      <c r="U124" s="439"/>
      <c r="V124" s="439"/>
      <c r="W124" s="439"/>
      <c r="X124" s="439"/>
      <c r="Y124" s="439"/>
      <c r="Z124" s="439"/>
      <c r="AA124" s="439"/>
      <c r="AB124" s="21"/>
      <c r="AC124" s="21"/>
      <c r="AD124" s="21"/>
      <c r="AE124" s="370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</row>
    <row r="125">
      <c r="A125" s="440"/>
      <c r="B125" s="434"/>
      <c r="C125" s="435" t="str">
        <f>IFERROR(__xludf.DUMMYFUNCTION("IF(ISBLANK($B125),"""",query('Saída'!$K$3:$R$505,""Select R where N = '""&amp;$B125&amp;""' and K = ""&amp;$A125,0))"),"")</f>
        <v/>
      </c>
      <c r="D125" s="436"/>
      <c r="E125" s="438" t="str">
        <f>IFERROR(__xludf.DUMMYFUNCTION("if(isblank($B125),"""",split(rept(0&amp;""-"",month(query('Saída'!$J$3:$R$505,""Select M where N = '""&amp;$B125&amp;""' and K = ""&amp;$A125,0))-1)&amp;rept(query('Saída'!$J$3:$R$505,""Select Q where N = '""&amp;$B125&amp;""' and K = ""&amp;$A125,0)&amp;""-"",query('Saída'!$J$3:$R$505,""Se"&amp;"lect P where N = '""&amp;$B125&amp;""' and K = ""&amp;$A125,0)),""-""))"),"  ")</f>
        <v/>
      </c>
      <c r="F125" s="441"/>
      <c r="G125" s="441"/>
      <c r="H125" s="441"/>
      <c r="I125" s="441"/>
      <c r="J125" s="441"/>
      <c r="K125" s="441"/>
      <c r="L125" s="441"/>
      <c r="M125" s="441"/>
      <c r="N125" s="441"/>
      <c r="O125" s="441"/>
      <c r="P125" s="441"/>
      <c r="Q125" s="441"/>
      <c r="R125" s="441"/>
      <c r="S125" s="441"/>
      <c r="T125" s="441"/>
      <c r="U125" s="441"/>
      <c r="V125" s="441"/>
      <c r="W125" s="441"/>
      <c r="X125" s="441"/>
      <c r="Y125" s="441"/>
      <c r="Z125" s="441"/>
      <c r="AA125" s="441"/>
      <c r="AB125" s="21"/>
      <c r="AC125" s="21"/>
      <c r="AD125" s="21"/>
      <c r="AE125" s="370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</row>
    <row r="126">
      <c r="A126" s="440"/>
      <c r="B126" s="434"/>
      <c r="C126" s="435" t="str">
        <f>IFERROR(__xludf.DUMMYFUNCTION("IF(ISBLANK($B126),"""",query('Saída'!$K$3:$R$505,""Select R where N = '""&amp;$B126&amp;""' and K = ""&amp;$A126,0))"),"")</f>
        <v/>
      </c>
      <c r="D126" s="436"/>
      <c r="E126" s="438" t="str">
        <f>IFERROR(__xludf.DUMMYFUNCTION("if(isblank($B126),"""",split(rept(0&amp;""-"",month(query('Saída'!$J$3:$R$505,""Select M where N = '""&amp;$B126&amp;""' and K = ""&amp;$A126,0))-1)&amp;rept(query('Saída'!$J$3:$R$505,""Select Q where N = '""&amp;$B126&amp;""' and K = ""&amp;$A126,0)&amp;""-"",query('Saída'!$J$3:$R$505,""Se"&amp;"lect P where N = '""&amp;$B126&amp;""' and K = ""&amp;$A126,0)),""-""))"),"  ")</f>
        <v/>
      </c>
      <c r="F126" s="441"/>
      <c r="G126" s="442"/>
      <c r="H126" s="441"/>
      <c r="I126" s="441"/>
      <c r="J126" s="441"/>
      <c r="K126" s="441"/>
      <c r="L126" s="441"/>
      <c r="M126" s="441"/>
      <c r="N126" s="441"/>
      <c r="O126" s="441"/>
      <c r="P126" s="441"/>
      <c r="Q126" s="441"/>
      <c r="R126" s="441"/>
      <c r="S126" s="441"/>
      <c r="T126" s="441"/>
      <c r="U126" s="441"/>
      <c r="V126" s="441"/>
      <c r="W126" s="441"/>
      <c r="X126" s="441"/>
      <c r="Y126" s="441"/>
      <c r="Z126" s="441"/>
      <c r="AA126" s="441"/>
      <c r="AB126" s="21"/>
      <c r="AC126" s="21"/>
      <c r="AD126" s="21"/>
      <c r="AE126" s="370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</row>
    <row r="127">
      <c r="A127" s="440"/>
      <c r="B127" s="434"/>
      <c r="C127" s="435" t="str">
        <f>IFERROR(__xludf.DUMMYFUNCTION("IF(ISBLANK($B127),"""",query('Saída'!$K$3:$R$505,""Select R where N = '""&amp;$B127&amp;""' and K = ""&amp;$A127,0))"),"")</f>
        <v/>
      </c>
      <c r="D127" s="436"/>
      <c r="E127" s="438" t="str">
        <f>IFERROR(__xludf.DUMMYFUNCTION("if(isblank($B127),"""",split(rept(0&amp;""-"",month(query('Saída'!$J$3:$R$505,""Select M where N = '""&amp;$B127&amp;""' and K = ""&amp;$A127,0))-1)&amp;rept(query('Saída'!$J$3:$R$505,""Select Q where N = '""&amp;$B127&amp;""' and K = ""&amp;$A127,0)&amp;""-"",query('Saída'!$J$3:$R$505,""Se"&amp;"lect P where N = '""&amp;$B127&amp;""' and K = ""&amp;$A127,0)),""-""))"),"  ")</f>
        <v/>
      </c>
      <c r="F127" s="441"/>
      <c r="G127" s="441"/>
      <c r="H127" s="441"/>
      <c r="I127" s="441"/>
      <c r="J127" s="441"/>
      <c r="K127" s="441"/>
      <c r="L127" s="441"/>
      <c r="M127" s="441"/>
      <c r="N127" s="441"/>
      <c r="O127" s="441"/>
      <c r="P127" s="441"/>
      <c r="Q127" s="441"/>
      <c r="R127" s="441"/>
      <c r="S127" s="441"/>
      <c r="T127" s="441"/>
      <c r="U127" s="441"/>
      <c r="V127" s="441"/>
      <c r="W127" s="441"/>
      <c r="X127" s="441"/>
      <c r="Y127" s="441"/>
      <c r="Z127" s="441"/>
      <c r="AA127" s="441"/>
      <c r="AB127" s="21"/>
      <c r="AC127" s="21"/>
      <c r="AD127" s="21"/>
      <c r="AE127" s="370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</row>
    <row r="128">
      <c r="A128" s="440"/>
      <c r="B128" s="434"/>
      <c r="C128" s="435" t="str">
        <f>IFERROR(__xludf.DUMMYFUNCTION("IF(ISBLANK($B128),"""",query('Saída'!$K$3:$R$505,""Select R where N = '""&amp;$B128&amp;""' and K = ""&amp;$A128,0))"),"")</f>
        <v/>
      </c>
      <c r="D128" s="436"/>
      <c r="E128" s="438" t="str">
        <f>IFERROR(__xludf.DUMMYFUNCTION("if(isblank($B128),"""",split(rept(0&amp;""-"",month(query('Saída'!$J$3:$R$505,""Select M where N = '""&amp;$B128&amp;""' and K = ""&amp;$A128,0))-1)&amp;rept(query('Saída'!$J$3:$R$505,""Select Q where N = '""&amp;$B128&amp;""' and K = ""&amp;$A128,0)&amp;""-"",query('Saída'!$J$3:$R$505,""Se"&amp;"lect P where N = '""&amp;$B128&amp;""' and K = ""&amp;$A128,0)),""-""))"),"  ")</f>
        <v/>
      </c>
      <c r="F128" s="442"/>
      <c r="G128" s="441"/>
      <c r="H128" s="441"/>
      <c r="I128" s="441"/>
      <c r="J128" s="441"/>
      <c r="K128" s="441"/>
      <c r="L128" s="441"/>
      <c r="M128" s="441"/>
      <c r="N128" s="441"/>
      <c r="O128" s="441"/>
      <c r="P128" s="441"/>
      <c r="Q128" s="441"/>
      <c r="R128" s="441"/>
      <c r="S128" s="441"/>
      <c r="T128" s="441"/>
      <c r="U128" s="441"/>
      <c r="V128" s="441"/>
      <c r="W128" s="441"/>
      <c r="X128" s="441"/>
      <c r="Y128" s="441"/>
      <c r="Z128" s="441"/>
      <c r="AA128" s="441"/>
      <c r="AB128" s="21"/>
      <c r="AC128" s="21"/>
      <c r="AD128" s="21"/>
      <c r="AE128" s="370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</row>
    <row r="129">
      <c r="A129" s="440"/>
      <c r="B129" s="434"/>
      <c r="C129" s="435" t="str">
        <f>IFERROR(__xludf.DUMMYFUNCTION("IF(ISBLANK($B129),"""",query('Saída'!$K$3:$R$505,""Select R where N = '""&amp;$B129&amp;""' and K = ""&amp;$A129,0))"),"")</f>
        <v/>
      </c>
      <c r="D129" s="436"/>
      <c r="E129" s="438" t="str">
        <f>IFERROR(__xludf.DUMMYFUNCTION("if(isblank($B129),"""",split(rept(0&amp;""-"",month(query('Saída'!$J$3:$R$505,""Select M where N = '""&amp;$B129&amp;""' and K = ""&amp;$A129,0))-1)&amp;rept(query('Saída'!$J$3:$R$505,""Select Q where N = '""&amp;$B129&amp;""' and K = ""&amp;$A129,0)&amp;""-"",query('Saída'!$J$3:$R$505,""Se"&amp;"lect P where N = '""&amp;$B129&amp;""' and K = ""&amp;$A129,0)),""-""))"),"  ")</f>
        <v/>
      </c>
      <c r="F129" s="442"/>
      <c r="G129" s="441"/>
      <c r="H129" s="441"/>
      <c r="I129" s="441"/>
      <c r="J129" s="441"/>
      <c r="K129" s="441"/>
      <c r="L129" s="441"/>
      <c r="M129" s="441"/>
      <c r="N129" s="441"/>
      <c r="O129" s="441"/>
      <c r="P129" s="441"/>
      <c r="Q129" s="441"/>
      <c r="R129" s="441"/>
      <c r="S129" s="441"/>
      <c r="T129" s="441"/>
      <c r="U129" s="441"/>
      <c r="V129" s="441"/>
      <c r="W129" s="441"/>
      <c r="X129" s="441"/>
      <c r="Y129" s="441"/>
      <c r="Z129" s="441"/>
      <c r="AA129" s="441"/>
      <c r="AB129" s="21"/>
      <c r="AC129" s="21"/>
      <c r="AD129" s="21"/>
      <c r="AE129" s="370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</row>
    <row r="130">
      <c r="A130" s="440"/>
      <c r="B130" s="434"/>
      <c r="C130" s="435" t="str">
        <f>IFERROR(__xludf.DUMMYFUNCTION("IF(ISBLANK($B130),"""",query('Saída'!$K$3:$R$505,""Select R where N = '""&amp;$B130&amp;""' and K = ""&amp;$A130,0))"),"")</f>
        <v/>
      </c>
      <c r="D130" s="436"/>
      <c r="E130" s="438" t="str">
        <f>IFERROR(__xludf.DUMMYFUNCTION("if(isblank($B130),"""",split(rept(0&amp;""-"",month(query('Saída'!$J$3:$R$505,""Select M where N = '""&amp;$B130&amp;""' and K = ""&amp;$A130,0))-1)&amp;rept(query('Saída'!$J$3:$R$505,""Select Q where N = '""&amp;$B130&amp;""' and K = ""&amp;$A130,0)&amp;""-"",query('Saída'!$J$3:$R$505,""Se"&amp;"lect P where N = '""&amp;$B130&amp;""' and K = ""&amp;$A130,0)),""-""))"),"  ")</f>
        <v/>
      </c>
      <c r="F130" s="441"/>
      <c r="G130" s="441"/>
      <c r="H130" s="441"/>
      <c r="I130" s="441"/>
      <c r="J130" s="441"/>
      <c r="K130" s="441"/>
      <c r="L130" s="441"/>
      <c r="M130" s="441"/>
      <c r="N130" s="441"/>
      <c r="O130" s="441"/>
      <c r="P130" s="441"/>
      <c r="Q130" s="441"/>
      <c r="R130" s="441"/>
      <c r="S130" s="441"/>
      <c r="T130" s="441"/>
      <c r="U130" s="441"/>
      <c r="V130" s="441"/>
      <c r="W130" s="441"/>
      <c r="X130" s="441"/>
      <c r="Y130" s="441"/>
      <c r="Z130" s="441"/>
      <c r="AA130" s="441"/>
      <c r="AB130" s="21"/>
      <c r="AC130" s="21"/>
      <c r="AD130" s="21"/>
      <c r="AE130" s="370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</row>
    <row r="131">
      <c r="A131" s="440"/>
      <c r="B131" s="434"/>
      <c r="C131" s="435" t="str">
        <f>IFERROR(__xludf.DUMMYFUNCTION("IF(ISBLANK($B131),"""",query('Saída'!$K$3:$R$505,""Select R where N = '""&amp;$B131&amp;""' and K = ""&amp;$A131,0))"),"")</f>
        <v/>
      </c>
      <c r="D131" s="436"/>
      <c r="E131" s="438" t="str">
        <f>IFERROR(__xludf.DUMMYFUNCTION("if(isblank($B131),"""",split(rept(0&amp;""-"",month(query('Saída'!$J$3:$R$505,""Select M where N = '""&amp;$B131&amp;""' and K = ""&amp;$A131,0))-1)&amp;rept(query('Saída'!$J$3:$R$505,""Select Q where N = '""&amp;$B131&amp;""' and K = ""&amp;$A131,0)&amp;""-"",query('Saída'!$J$3:$R$505,""Se"&amp;"lect P where N = '""&amp;$B131&amp;""' and K = ""&amp;$A131,0)),""-""))"),"  ")</f>
        <v/>
      </c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41"/>
      <c r="Z131" s="441"/>
      <c r="AA131" s="441"/>
      <c r="AB131" s="21"/>
      <c r="AC131" s="21"/>
      <c r="AD131" s="21"/>
      <c r="AE131" s="370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</row>
    <row r="132">
      <c r="A132" s="440"/>
      <c r="B132" s="434"/>
      <c r="C132" s="435" t="str">
        <f>IFERROR(__xludf.DUMMYFUNCTION("IF(ISBLANK($B132),"""",query('Saída'!$K$3:$R$505,""Select R where N = '""&amp;$B132&amp;""' and K = ""&amp;$A132,0))"),"")</f>
        <v/>
      </c>
      <c r="D132" s="436"/>
      <c r="E132" s="438" t="str">
        <f>IFERROR(__xludf.DUMMYFUNCTION("if(isblank($B132),"""",split(rept(0&amp;""-"",month(query('Saída'!$J$3:$R$505,""Select M where N = '""&amp;$B132&amp;""' and K = ""&amp;$A132,0))-1)&amp;rept(query('Saída'!$J$3:$R$505,""Select Q where N = '""&amp;$B132&amp;""' and K = ""&amp;$A132,0)&amp;""-"",query('Saída'!$J$3:$R$505,""Se"&amp;"lect P where N = '""&amp;$B132&amp;""' and K = ""&amp;$A132,0)),""-""))"),"  ")</f>
        <v/>
      </c>
      <c r="F132" s="441"/>
      <c r="G132" s="441"/>
      <c r="H132" s="441"/>
      <c r="I132" s="441"/>
      <c r="J132" s="441"/>
      <c r="K132" s="441"/>
      <c r="L132" s="441"/>
      <c r="M132" s="441"/>
      <c r="N132" s="441"/>
      <c r="O132" s="441"/>
      <c r="P132" s="441"/>
      <c r="Q132" s="441"/>
      <c r="R132" s="441"/>
      <c r="S132" s="441"/>
      <c r="T132" s="441"/>
      <c r="U132" s="441"/>
      <c r="V132" s="441"/>
      <c r="W132" s="441"/>
      <c r="X132" s="441"/>
      <c r="Y132" s="441"/>
      <c r="Z132" s="441"/>
      <c r="AA132" s="441"/>
      <c r="AB132" s="21"/>
      <c r="AC132" s="21"/>
      <c r="AD132" s="21"/>
      <c r="AE132" s="370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</row>
    <row r="133">
      <c r="A133" s="440"/>
      <c r="B133" s="434"/>
      <c r="C133" s="435" t="str">
        <f>IFERROR(__xludf.DUMMYFUNCTION("IF(ISBLANK($B133),"""",query('Saída'!$K$3:$R$505,""Select R where N = '""&amp;$B133&amp;""' and K = ""&amp;$A133,0))"),"")</f>
        <v/>
      </c>
      <c r="D133" s="436"/>
      <c r="E133" s="438" t="str">
        <f>IFERROR(__xludf.DUMMYFUNCTION("if(isblank($B133),"""",split(rept(0&amp;""-"",month(query('Saída'!$J$3:$R$505,""Select M where N = '""&amp;$B133&amp;""' and K = ""&amp;$A133,0))-1)&amp;rept(query('Saída'!$J$3:$R$505,""Select Q where N = '""&amp;$B133&amp;""' and K = ""&amp;$A133,0)&amp;""-"",query('Saída'!$J$3:$R$505,""Se"&amp;"lect P where N = '""&amp;$B133&amp;""' and K = ""&amp;$A133,0)),""-""))"),"  ")</f>
        <v/>
      </c>
      <c r="F133" s="441"/>
      <c r="G133" s="441"/>
      <c r="H133" s="441"/>
      <c r="I133" s="441"/>
      <c r="J133" s="441"/>
      <c r="K133" s="441"/>
      <c r="L133" s="441"/>
      <c r="M133" s="441"/>
      <c r="N133" s="441"/>
      <c r="O133" s="441"/>
      <c r="P133" s="441"/>
      <c r="Q133" s="441"/>
      <c r="R133" s="441"/>
      <c r="S133" s="441"/>
      <c r="T133" s="441"/>
      <c r="U133" s="441"/>
      <c r="V133" s="441"/>
      <c r="W133" s="441"/>
      <c r="X133" s="441"/>
      <c r="Y133" s="441"/>
      <c r="Z133" s="441"/>
      <c r="AA133" s="441"/>
      <c r="AB133" s="21"/>
      <c r="AC133" s="21"/>
      <c r="AD133" s="21"/>
      <c r="AE133" s="370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</row>
    <row r="134">
      <c r="A134" s="440"/>
      <c r="B134" s="434"/>
      <c r="C134" s="435" t="str">
        <f>IFERROR(__xludf.DUMMYFUNCTION("IF(ISBLANK($B134),"""",query('Saída'!$K$3:$R$505,""Select R where N = '""&amp;$B134&amp;""' and K = ""&amp;$A134,0))"),"")</f>
        <v/>
      </c>
      <c r="D134" s="436"/>
      <c r="E134" s="438" t="str">
        <f>IFERROR(__xludf.DUMMYFUNCTION("if(isblank($B134),"""",split(rept(0&amp;""-"",month(query('Saída'!$J$3:$R$505,""Select M where N = '""&amp;$B134&amp;""' and K = ""&amp;$A134,0))-1)&amp;rept(query('Saída'!$J$3:$R$505,""Select Q where N = '""&amp;$B134&amp;""' and K = ""&amp;$A134,0)&amp;""-"",query('Saída'!$J$3:$R$505,""Se"&amp;"lect P where N = '""&amp;$B134&amp;""' and K = ""&amp;$A134,0)),""-""))"),"  ")</f>
        <v/>
      </c>
      <c r="F134" s="441"/>
      <c r="G134" s="441"/>
      <c r="H134" s="441"/>
      <c r="I134" s="441"/>
      <c r="J134" s="441"/>
      <c r="K134" s="441"/>
      <c r="L134" s="441"/>
      <c r="M134" s="441"/>
      <c r="N134" s="441"/>
      <c r="O134" s="441"/>
      <c r="P134" s="441"/>
      <c r="Q134" s="441"/>
      <c r="R134" s="441"/>
      <c r="S134" s="441"/>
      <c r="T134" s="441"/>
      <c r="U134" s="441"/>
      <c r="V134" s="441"/>
      <c r="W134" s="441"/>
      <c r="X134" s="441"/>
      <c r="Y134" s="441"/>
      <c r="Z134" s="441"/>
      <c r="AA134" s="441"/>
      <c r="AB134" s="21"/>
      <c r="AC134" s="21"/>
      <c r="AD134" s="21"/>
      <c r="AE134" s="370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</row>
    <row r="135">
      <c r="A135" s="440"/>
      <c r="B135" s="434"/>
      <c r="C135" s="435" t="str">
        <f>IFERROR(__xludf.DUMMYFUNCTION("IF(ISBLANK($B135),"""",query('Saída'!$K$3:$R$505,""Select R where N = '""&amp;$B135&amp;""' and K = ""&amp;$A135,0))"),"")</f>
        <v/>
      </c>
      <c r="D135" s="436"/>
      <c r="E135" s="438" t="str">
        <f>IFERROR(__xludf.DUMMYFUNCTION("if(isblank($B135),"""",split(rept(0&amp;""-"",month(query('Saída'!$J$3:$R$505,""Select M where N = '""&amp;$B135&amp;""' and K = ""&amp;$A135,0))-1)&amp;rept(query('Saída'!$J$3:$R$505,""Select Q where N = '""&amp;$B135&amp;""' and K = ""&amp;$A135,0)&amp;""-"",query('Saída'!$J$3:$R$505,""Se"&amp;"lect P where N = '""&amp;$B135&amp;""' and K = ""&amp;$A135,0)),""-""))"),"  ")</f>
        <v/>
      </c>
      <c r="F135" s="441"/>
      <c r="G135" s="441"/>
      <c r="H135" s="441"/>
      <c r="I135" s="441"/>
      <c r="J135" s="441"/>
      <c r="K135" s="441"/>
      <c r="L135" s="441"/>
      <c r="M135" s="441"/>
      <c r="N135" s="441"/>
      <c r="O135" s="441"/>
      <c r="P135" s="441"/>
      <c r="Q135" s="441"/>
      <c r="R135" s="441"/>
      <c r="S135" s="441"/>
      <c r="T135" s="441"/>
      <c r="U135" s="441"/>
      <c r="V135" s="441"/>
      <c r="W135" s="441"/>
      <c r="X135" s="441"/>
      <c r="Y135" s="441"/>
      <c r="Z135" s="441"/>
      <c r="AA135" s="441"/>
      <c r="AB135" s="21"/>
      <c r="AC135" s="21"/>
      <c r="AD135" s="21"/>
      <c r="AE135" s="370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</row>
    <row r="136">
      <c r="A136" s="440"/>
      <c r="B136" s="434"/>
      <c r="C136" s="435" t="str">
        <f>IFERROR(__xludf.DUMMYFUNCTION("IF(ISBLANK($B136),"""",query('Saída'!$K$3:$R$505,""Select R where N = '""&amp;$B136&amp;""' and K = ""&amp;$A136,0))"),"")</f>
        <v/>
      </c>
      <c r="D136" s="436"/>
      <c r="E136" s="438" t="str">
        <f>IFERROR(__xludf.DUMMYFUNCTION("if(isblank($B136),"""",split(rept(0&amp;""-"",month(query('Saída'!$J$3:$R$505,""Select M where N = '""&amp;$B136&amp;""' and K = ""&amp;$A136,0))-1)&amp;rept(query('Saída'!$J$3:$R$505,""Select Q where N = '""&amp;$B136&amp;""' and K = ""&amp;$A136,0)&amp;""-"",query('Saída'!$J$3:$R$505,""Se"&amp;"lect P where N = '""&amp;$B136&amp;""' and K = ""&amp;$A136,0)),""-""))"),"  ")</f>
        <v/>
      </c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41"/>
      <c r="Z136" s="441"/>
      <c r="AA136" s="441"/>
      <c r="AB136" s="21"/>
      <c r="AC136" s="21"/>
      <c r="AD136" s="21"/>
      <c r="AE136" s="370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</row>
    <row r="137">
      <c r="A137" s="440"/>
      <c r="B137" s="434"/>
      <c r="C137" s="435" t="str">
        <f>IFERROR(__xludf.DUMMYFUNCTION("IF(ISBLANK($B137),"""",query('Saída'!$K$3:$R$505,""Select R where N = '""&amp;$B137&amp;""' and K = ""&amp;$A137,0))"),"")</f>
        <v/>
      </c>
      <c r="D137" s="436"/>
      <c r="E137" s="438" t="str">
        <f>IFERROR(__xludf.DUMMYFUNCTION("if(isblank($B137),"""",split(rept(0&amp;""-"",month(query('Saída'!$J$3:$R$505,""Select M where N = '""&amp;$B137&amp;""' and K = ""&amp;$A137,0))-1)&amp;rept(query('Saída'!$J$3:$R$505,""Select Q where N = '""&amp;$B137&amp;""' and K = ""&amp;$A137,0)&amp;""-"",query('Saída'!$J$3:$R$505,""Se"&amp;"lect P where N = '""&amp;$B137&amp;""' and K = ""&amp;$A137,0)),""-""))"),"  ")</f>
        <v/>
      </c>
      <c r="F137" s="441"/>
      <c r="G137" s="441"/>
      <c r="H137" s="441"/>
      <c r="I137" s="441"/>
      <c r="J137" s="441"/>
      <c r="K137" s="441"/>
      <c r="L137" s="441"/>
      <c r="M137" s="441"/>
      <c r="N137" s="441"/>
      <c r="O137" s="441"/>
      <c r="P137" s="441"/>
      <c r="Q137" s="441"/>
      <c r="R137" s="441"/>
      <c r="S137" s="441"/>
      <c r="T137" s="441"/>
      <c r="U137" s="441"/>
      <c r="V137" s="441"/>
      <c r="W137" s="441"/>
      <c r="X137" s="441"/>
      <c r="Y137" s="441"/>
      <c r="Z137" s="441"/>
      <c r="AA137" s="441"/>
      <c r="AB137" s="21"/>
      <c r="AC137" s="21"/>
      <c r="AD137" s="21"/>
      <c r="AE137" s="370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</row>
    <row r="138">
      <c r="A138" s="440"/>
      <c r="B138" s="434"/>
      <c r="C138" s="435" t="str">
        <f>IFERROR(__xludf.DUMMYFUNCTION("IF(ISBLANK($B138),"""",query('Saída'!$K$3:$R$505,""Select R where N = '""&amp;$B138&amp;""' and K = ""&amp;$A138,0))"),"")</f>
        <v/>
      </c>
      <c r="D138" s="436"/>
      <c r="E138" s="438" t="str">
        <f>IFERROR(__xludf.DUMMYFUNCTION("if(isblank($B138),"""",split(rept(0&amp;""-"",month(query('Saída'!$J$3:$R$505,""Select M where N = '""&amp;$B138&amp;""' and K = ""&amp;$A138,0))-1)&amp;rept(query('Saída'!$J$3:$R$505,""Select Q where N = '""&amp;$B138&amp;""' and K = ""&amp;$A138,0)&amp;""-"",query('Saída'!$J$3:$R$505,""Se"&amp;"lect P where N = '""&amp;$B138&amp;""' and K = ""&amp;$A138,0)),""-""))"),"  ")</f>
        <v/>
      </c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41"/>
      <c r="AA138" s="441"/>
      <c r="AB138" s="21"/>
      <c r="AC138" s="21"/>
      <c r="AD138" s="21"/>
      <c r="AE138" s="370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</row>
    <row r="139">
      <c r="A139" s="440"/>
      <c r="B139" s="434"/>
      <c r="C139" s="435" t="str">
        <f>IFERROR(__xludf.DUMMYFUNCTION("IF(ISBLANK($B139),"""",query('Saída'!$K$3:$R$505,""Select R where N = '""&amp;$B139&amp;""' and K = ""&amp;$A139,0))"),"")</f>
        <v/>
      </c>
      <c r="D139" s="436"/>
      <c r="E139" s="438" t="str">
        <f>IFERROR(__xludf.DUMMYFUNCTION("if(isblank($B139),"""",split(rept(0&amp;""-"",month(query('Saída'!$J$3:$R$505,""Select M where N = '""&amp;$B139&amp;""' and K = ""&amp;$A139,0))-1)&amp;rept(query('Saída'!$J$3:$R$505,""Select Q where N = '""&amp;$B139&amp;""' and K = ""&amp;$A139,0)&amp;""-"",query('Saída'!$J$3:$R$505,""Se"&amp;"lect P where N = '""&amp;$B139&amp;""' and K = ""&amp;$A139,0)),""-""))"),"  ")</f>
        <v/>
      </c>
      <c r="F139" s="441"/>
      <c r="G139" s="441"/>
      <c r="H139" s="441"/>
      <c r="I139" s="441"/>
      <c r="J139" s="441"/>
      <c r="K139" s="441"/>
      <c r="L139" s="441"/>
      <c r="M139" s="441"/>
      <c r="N139" s="441"/>
      <c r="O139" s="441"/>
      <c r="P139" s="441"/>
      <c r="Q139" s="441"/>
      <c r="R139" s="441"/>
      <c r="S139" s="441"/>
      <c r="T139" s="441"/>
      <c r="U139" s="441"/>
      <c r="V139" s="441"/>
      <c r="W139" s="441"/>
      <c r="X139" s="441"/>
      <c r="Y139" s="441"/>
      <c r="Z139" s="441"/>
      <c r="AA139" s="441"/>
      <c r="AB139" s="21"/>
      <c r="AC139" s="21"/>
      <c r="AD139" s="21"/>
      <c r="AE139" s="370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</row>
    <row r="140">
      <c r="A140" s="440"/>
      <c r="B140" s="434"/>
      <c r="C140" s="435" t="str">
        <f>IFERROR(__xludf.DUMMYFUNCTION("IF(ISBLANK($B140),"""",query('Saída'!$K$3:$R$505,""Select R where N = '""&amp;$B140&amp;""' and K = ""&amp;$A140,0))"),"")</f>
        <v/>
      </c>
      <c r="D140" s="436"/>
      <c r="E140" s="438" t="str">
        <f>IFERROR(__xludf.DUMMYFUNCTION("if(isblank($B140),"""",split(rept(0&amp;""-"",month(query('Saída'!$J$3:$R$505,""Select M where N = '""&amp;$B140&amp;""' and K = ""&amp;$A140,0))-1)&amp;rept(query('Saída'!$J$3:$R$505,""Select Q where N = '""&amp;$B140&amp;""' and K = ""&amp;$A140,0)&amp;""-"",query('Saída'!$J$3:$R$505,""Se"&amp;"lect P where N = '""&amp;$B140&amp;""' and K = ""&amp;$A140,0)),""-""))"),"  ")</f>
        <v/>
      </c>
      <c r="F140" s="441"/>
      <c r="G140" s="441"/>
      <c r="H140" s="441"/>
      <c r="I140" s="441"/>
      <c r="J140" s="441"/>
      <c r="K140" s="441"/>
      <c r="L140" s="441"/>
      <c r="M140" s="441"/>
      <c r="N140" s="441"/>
      <c r="O140" s="441"/>
      <c r="P140" s="441"/>
      <c r="Q140" s="441"/>
      <c r="R140" s="441"/>
      <c r="S140" s="441"/>
      <c r="T140" s="441"/>
      <c r="U140" s="441"/>
      <c r="V140" s="441"/>
      <c r="W140" s="441"/>
      <c r="X140" s="441"/>
      <c r="Y140" s="441"/>
      <c r="Z140" s="441"/>
      <c r="AA140" s="441"/>
      <c r="AB140" s="21"/>
      <c r="AC140" s="21"/>
      <c r="AD140" s="21"/>
      <c r="AE140" s="370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</row>
    <row r="141">
      <c r="A141" s="440"/>
      <c r="B141" s="434"/>
      <c r="C141" s="435" t="str">
        <f>IFERROR(__xludf.DUMMYFUNCTION("IF(ISBLANK($B141),"""",query('Saída'!$K$3:$R$505,""Select R where N = '""&amp;$B141&amp;""' and K = ""&amp;$A141,0))"),"")</f>
        <v/>
      </c>
      <c r="D141" s="436"/>
      <c r="E141" s="438" t="str">
        <f>IFERROR(__xludf.DUMMYFUNCTION("if(isblank($B141),"""",split(rept(0&amp;""-"",month(query('Saída'!$J$3:$R$505,""Select M where N = '""&amp;$B141&amp;""' and K = ""&amp;$A141,0))-1)&amp;rept(query('Saída'!$J$3:$R$505,""Select Q where N = '""&amp;$B141&amp;""' and K = ""&amp;$A141,0)&amp;""-"",query('Saída'!$J$3:$R$505,""Se"&amp;"lect P where N = '""&amp;$B141&amp;""' and K = ""&amp;$A141,0)),""-""))"),"  ")</f>
        <v/>
      </c>
      <c r="F141" s="441"/>
      <c r="G141" s="441"/>
      <c r="H141" s="441"/>
      <c r="I141" s="441"/>
      <c r="J141" s="441"/>
      <c r="K141" s="441"/>
      <c r="L141" s="441"/>
      <c r="M141" s="441"/>
      <c r="N141" s="441"/>
      <c r="O141" s="441"/>
      <c r="P141" s="441"/>
      <c r="Q141" s="441"/>
      <c r="R141" s="441"/>
      <c r="S141" s="441"/>
      <c r="T141" s="441"/>
      <c r="U141" s="441"/>
      <c r="V141" s="441"/>
      <c r="W141" s="441"/>
      <c r="X141" s="441"/>
      <c r="Y141" s="441"/>
      <c r="Z141" s="441"/>
      <c r="AA141" s="441"/>
      <c r="AB141" s="21"/>
      <c r="AC141" s="21"/>
      <c r="AD141" s="21"/>
      <c r="AE141" s="370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</row>
    <row r="142">
      <c r="A142" s="440"/>
      <c r="B142" s="434"/>
      <c r="C142" s="435" t="str">
        <f>IFERROR(__xludf.DUMMYFUNCTION("IF(ISBLANK($B142),"""",query('Saída'!$K$3:$R$505,""Select R where N = '""&amp;$B142&amp;""' and K = ""&amp;$A142,0))"),"")</f>
        <v/>
      </c>
      <c r="D142" s="436"/>
      <c r="E142" s="438" t="str">
        <f>IFERROR(__xludf.DUMMYFUNCTION("if(isblank($B142),"""",split(rept(0&amp;""-"",month(query('Saída'!$J$3:$R$505,""Select M where N = '""&amp;$B142&amp;""' and K = ""&amp;$A142,0))-1)&amp;rept(query('Saída'!$J$3:$R$505,""Select Q where N = '""&amp;$B142&amp;""' and K = ""&amp;$A142,0)&amp;""-"",query('Saída'!$J$3:$R$505,""Se"&amp;"lect P where N = '""&amp;$B142&amp;""' and K = ""&amp;$A142,0)),""-""))"),"  ")</f>
        <v/>
      </c>
      <c r="F142" s="441"/>
      <c r="G142" s="441"/>
      <c r="H142" s="441"/>
      <c r="I142" s="441"/>
      <c r="J142" s="441"/>
      <c r="K142" s="441"/>
      <c r="L142" s="441"/>
      <c r="M142" s="441"/>
      <c r="N142" s="441"/>
      <c r="O142" s="441"/>
      <c r="P142" s="441"/>
      <c r="Q142" s="441"/>
      <c r="R142" s="441"/>
      <c r="S142" s="441"/>
      <c r="T142" s="441"/>
      <c r="U142" s="441"/>
      <c r="V142" s="441"/>
      <c r="W142" s="441"/>
      <c r="X142" s="441"/>
      <c r="Y142" s="441"/>
      <c r="Z142" s="441"/>
      <c r="AA142" s="441"/>
      <c r="AB142" s="21"/>
      <c r="AC142" s="21"/>
      <c r="AD142" s="21"/>
      <c r="AE142" s="370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</row>
    <row r="143">
      <c r="A143" s="440"/>
      <c r="B143" s="434"/>
      <c r="C143" s="435" t="str">
        <f>IFERROR(__xludf.DUMMYFUNCTION("IF(ISBLANK($B143),"""",query('Saída'!$K$3:$R$505,""Select R where N = '""&amp;$B143&amp;""' and K = ""&amp;$A143,0))"),"")</f>
        <v/>
      </c>
      <c r="D143" s="436"/>
      <c r="E143" s="438" t="str">
        <f>IFERROR(__xludf.DUMMYFUNCTION("if(isblank($B143),"""",split(rept(0&amp;""-"",month(query('Saída'!$J$3:$R$505,""Select M where N = '""&amp;$B143&amp;""' and K = ""&amp;$A143,0))-1)&amp;rept(query('Saída'!$J$3:$R$505,""Select Q where N = '""&amp;$B143&amp;""' and K = ""&amp;$A143,0)&amp;""-"",query('Saída'!$J$3:$R$505,""Se"&amp;"lect P where N = '""&amp;$B143&amp;""' and K = ""&amp;$A143,0)),""-""))"),"  ")</f>
        <v/>
      </c>
      <c r="F143" s="441"/>
      <c r="G143" s="441"/>
      <c r="H143" s="441"/>
      <c r="I143" s="441"/>
      <c r="J143" s="441"/>
      <c r="K143" s="441"/>
      <c r="L143" s="441"/>
      <c r="M143" s="441"/>
      <c r="N143" s="441"/>
      <c r="O143" s="441"/>
      <c r="P143" s="441"/>
      <c r="Q143" s="441"/>
      <c r="R143" s="441"/>
      <c r="S143" s="441"/>
      <c r="T143" s="441"/>
      <c r="U143" s="441"/>
      <c r="V143" s="441"/>
      <c r="W143" s="441"/>
      <c r="X143" s="441"/>
      <c r="Y143" s="441"/>
      <c r="Z143" s="441"/>
      <c r="AA143" s="441"/>
      <c r="AB143" s="21"/>
      <c r="AC143" s="21"/>
      <c r="AD143" s="21"/>
      <c r="AE143" s="370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</row>
    <row r="144">
      <c r="A144" s="440"/>
      <c r="B144" s="434"/>
      <c r="C144" s="435" t="str">
        <f>IFERROR(__xludf.DUMMYFUNCTION("IF(ISBLANK($B144),"""",query('Saída'!$K$3:$R$505,""Select R where N = '""&amp;$B144&amp;""' and K = ""&amp;$A144,0))"),"")</f>
        <v/>
      </c>
      <c r="D144" s="436"/>
      <c r="E144" s="438" t="str">
        <f>IFERROR(__xludf.DUMMYFUNCTION("if(isblank($B144),"""",split(rept(0&amp;""-"",month(query('Saída'!$J$3:$R$505,""Select M where N = '""&amp;$B144&amp;""' and K = ""&amp;$A144,0))-1)&amp;rept(query('Saída'!$J$3:$R$505,""Select Q where N = '""&amp;$B144&amp;""' and K = ""&amp;$A144,0)&amp;""-"",query('Saída'!$J$3:$R$505,""Se"&amp;"lect P where N = '""&amp;$B144&amp;""' and K = ""&amp;$A144,0)),""-""))"),"  ")</f>
        <v/>
      </c>
      <c r="F144" s="441"/>
      <c r="G144" s="441"/>
      <c r="H144" s="441"/>
      <c r="I144" s="441"/>
      <c r="J144" s="441"/>
      <c r="K144" s="441"/>
      <c r="L144" s="441"/>
      <c r="M144" s="441"/>
      <c r="N144" s="441"/>
      <c r="O144" s="441"/>
      <c r="P144" s="441"/>
      <c r="Q144" s="441"/>
      <c r="R144" s="441"/>
      <c r="S144" s="441"/>
      <c r="T144" s="441"/>
      <c r="U144" s="441"/>
      <c r="V144" s="441"/>
      <c r="W144" s="441"/>
      <c r="X144" s="441"/>
      <c r="Y144" s="441"/>
      <c r="Z144" s="441"/>
      <c r="AA144" s="441"/>
      <c r="AB144" s="21"/>
      <c r="AC144" s="21"/>
      <c r="AD144" s="21"/>
      <c r="AE144" s="370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</row>
    <row r="145">
      <c r="A145" s="440"/>
      <c r="B145" s="434"/>
      <c r="C145" s="435" t="str">
        <f>IFERROR(__xludf.DUMMYFUNCTION("IF(ISBLANK($B145),"""",query('Saída'!$K$3:$R$505,""Select R where N = '""&amp;$B145&amp;""' and K = ""&amp;$A145,0))"),"")</f>
        <v/>
      </c>
      <c r="D145" s="436"/>
      <c r="E145" s="438" t="str">
        <f>IFERROR(__xludf.DUMMYFUNCTION("if(isblank($B145),"""",split(rept(0&amp;""-"",month(query('Saída'!$J$3:$R$505,""Select M where N = '""&amp;$B145&amp;""' and K = ""&amp;$A145,0))-1)&amp;rept(query('Saída'!$J$3:$R$505,""Select Q where N = '""&amp;$B145&amp;""' and K = ""&amp;$A145,0)&amp;""-"",query('Saída'!$J$3:$R$505,""Se"&amp;"lect P where N = '""&amp;$B145&amp;""' and K = ""&amp;$A145,0)),""-""))"),"  ")</f>
        <v/>
      </c>
      <c r="F145" s="441"/>
      <c r="G145" s="441"/>
      <c r="H145" s="441"/>
      <c r="I145" s="441"/>
      <c r="J145" s="441"/>
      <c r="K145" s="441"/>
      <c r="L145" s="441"/>
      <c r="M145" s="441"/>
      <c r="N145" s="441"/>
      <c r="O145" s="441"/>
      <c r="P145" s="441"/>
      <c r="Q145" s="441"/>
      <c r="R145" s="441"/>
      <c r="S145" s="441"/>
      <c r="T145" s="441"/>
      <c r="U145" s="441"/>
      <c r="V145" s="441"/>
      <c r="W145" s="441"/>
      <c r="X145" s="441"/>
      <c r="Y145" s="441"/>
      <c r="Z145" s="441"/>
      <c r="AA145" s="441"/>
      <c r="AB145" s="21"/>
      <c r="AC145" s="21"/>
      <c r="AD145" s="21"/>
      <c r="AE145" s="370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</row>
    <row r="146">
      <c r="A146" s="440"/>
      <c r="B146" s="434"/>
      <c r="C146" s="435" t="str">
        <f>IFERROR(__xludf.DUMMYFUNCTION("IF(ISBLANK($B146),"""",query('Saída'!$K$3:$R$505,""Select R where N = '""&amp;$B146&amp;""' and K = ""&amp;$A146,0))"),"")</f>
        <v/>
      </c>
      <c r="D146" s="436"/>
      <c r="E146" s="438" t="str">
        <f>IFERROR(__xludf.DUMMYFUNCTION("if(isblank($B146),"""",split(rept(0&amp;""-"",month(query('Saída'!$J$3:$R$505,""Select M where N = '""&amp;$B146&amp;""' and K = ""&amp;$A146,0))-1)&amp;rept(query('Saída'!$J$3:$R$505,""Select Q where N = '""&amp;$B146&amp;""' and K = ""&amp;$A146,0)&amp;""-"",query('Saída'!$J$3:$R$505,""Se"&amp;"lect P where N = '""&amp;$B146&amp;""' and K = ""&amp;$A146,0)),""-""))"),"  ")</f>
        <v/>
      </c>
      <c r="F146" s="441"/>
      <c r="G146" s="441"/>
      <c r="H146" s="441"/>
      <c r="I146" s="441"/>
      <c r="J146" s="441"/>
      <c r="K146" s="441"/>
      <c r="L146" s="441"/>
      <c r="M146" s="441"/>
      <c r="N146" s="441"/>
      <c r="O146" s="441"/>
      <c r="P146" s="441"/>
      <c r="Q146" s="441"/>
      <c r="R146" s="441"/>
      <c r="S146" s="441"/>
      <c r="T146" s="441"/>
      <c r="U146" s="441"/>
      <c r="V146" s="441"/>
      <c r="W146" s="441"/>
      <c r="X146" s="441"/>
      <c r="Y146" s="441"/>
      <c r="Z146" s="441"/>
      <c r="AA146" s="441"/>
      <c r="AB146" s="21"/>
      <c r="AC146" s="21"/>
      <c r="AD146" s="21"/>
      <c r="AE146" s="370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</row>
    <row r="147">
      <c r="A147" s="440"/>
      <c r="B147" s="434"/>
      <c r="C147" s="435" t="str">
        <f>IFERROR(__xludf.DUMMYFUNCTION("IF(ISBLANK($B147),"""",query('Saída'!$K$3:$R$505,""Select R where N = '""&amp;$B147&amp;""' and K = ""&amp;$A147,0))"),"")</f>
        <v/>
      </c>
      <c r="D147" s="436"/>
      <c r="E147" s="438" t="str">
        <f>IFERROR(__xludf.DUMMYFUNCTION("if(isblank($B147),"""",split(rept(0&amp;""-"",month(query('Saída'!$J$3:$R$505,""Select M where N = '""&amp;$B147&amp;""' and K = ""&amp;$A147,0))-1)&amp;rept(query('Saída'!$J$3:$R$505,""Select Q where N = '""&amp;$B147&amp;""' and K = ""&amp;$A147,0)&amp;""-"",query('Saída'!$J$3:$R$505,""Se"&amp;"lect P where N = '""&amp;$B147&amp;""' and K = ""&amp;$A147,0)),""-""))"),"  ")</f>
        <v/>
      </c>
      <c r="F147" s="441"/>
      <c r="G147" s="441"/>
      <c r="H147" s="441"/>
      <c r="I147" s="441"/>
      <c r="J147" s="441"/>
      <c r="K147" s="441"/>
      <c r="L147" s="441"/>
      <c r="M147" s="441"/>
      <c r="N147" s="441"/>
      <c r="O147" s="441"/>
      <c r="P147" s="441"/>
      <c r="Q147" s="441"/>
      <c r="R147" s="441"/>
      <c r="S147" s="441"/>
      <c r="T147" s="441"/>
      <c r="U147" s="441"/>
      <c r="V147" s="441"/>
      <c r="W147" s="441"/>
      <c r="X147" s="441"/>
      <c r="Y147" s="441"/>
      <c r="Z147" s="441"/>
      <c r="AA147" s="441"/>
      <c r="AB147" s="21"/>
      <c r="AC147" s="21"/>
      <c r="AD147" s="21"/>
      <c r="AE147" s="370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</row>
    <row r="148">
      <c r="A148" s="440"/>
      <c r="B148" s="434"/>
      <c r="C148" s="435" t="str">
        <f>IFERROR(__xludf.DUMMYFUNCTION("IF(ISBLANK($B148),"""",query('Saída'!$K$3:$R$505,""Select R where N = '""&amp;$B148&amp;""' and K = ""&amp;$A148,0))"),"")</f>
        <v/>
      </c>
      <c r="D148" s="436"/>
      <c r="E148" s="438" t="str">
        <f>IFERROR(__xludf.DUMMYFUNCTION("if(isblank($B148),"""",split(rept(0&amp;""-"",month(query('Saída'!$J$3:$R$505,""Select M where N = '""&amp;$B148&amp;""' and K = ""&amp;$A148,0))-1)&amp;rept(query('Saída'!$J$3:$R$505,""Select Q where N = '""&amp;$B148&amp;""' and K = ""&amp;$A148,0)&amp;""-"",query('Saída'!$J$3:$R$505,""Se"&amp;"lect P where N = '""&amp;$B148&amp;""' and K = ""&amp;$A148,0)),""-""))"),"  ")</f>
        <v/>
      </c>
      <c r="F148" s="441"/>
      <c r="G148" s="441"/>
      <c r="H148" s="441"/>
      <c r="I148" s="441"/>
      <c r="J148" s="441"/>
      <c r="K148" s="441"/>
      <c r="L148" s="441"/>
      <c r="M148" s="441"/>
      <c r="N148" s="441"/>
      <c r="O148" s="441"/>
      <c r="P148" s="441"/>
      <c r="Q148" s="441"/>
      <c r="R148" s="441"/>
      <c r="S148" s="441"/>
      <c r="T148" s="441"/>
      <c r="U148" s="441"/>
      <c r="V148" s="441"/>
      <c r="W148" s="441"/>
      <c r="X148" s="441"/>
      <c r="Y148" s="441"/>
      <c r="Z148" s="441"/>
      <c r="AA148" s="441"/>
      <c r="AB148" s="21"/>
      <c r="AC148" s="21"/>
      <c r="AD148" s="21"/>
      <c r="AE148" s="370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</row>
    <row r="149">
      <c r="A149" s="440"/>
      <c r="B149" s="434"/>
      <c r="C149" s="435" t="str">
        <f>IFERROR(__xludf.DUMMYFUNCTION("IF(ISBLANK($B149),"""",query('Saída'!$K$3:$R$505,""Select R where N = '""&amp;$B149&amp;""' and K = ""&amp;$A149,0))"),"")</f>
        <v/>
      </c>
      <c r="D149" s="436"/>
      <c r="E149" s="438" t="str">
        <f>IFERROR(__xludf.DUMMYFUNCTION("if(isblank($B149),"""",split(rept(0&amp;""-"",month(query('Saída'!$J$3:$R$505,""Select M where N = '""&amp;$B149&amp;""' and K = ""&amp;$A149,0))-1)&amp;rept(query('Saída'!$J$3:$R$505,""Select Q where N = '""&amp;$B149&amp;""' and K = ""&amp;$A149,0)&amp;""-"",query('Saída'!$J$3:$R$505,""Se"&amp;"lect P where N = '""&amp;$B149&amp;""' and K = ""&amp;$A149,0)),""-""))"),"  ")</f>
        <v/>
      </c>
      <c r="F149" s="441"/>
      <c r="G149" s="441"/>
      <c r="H149" s="441"/>
      <c r="I149" s="441"/>
      <c r="J149" s="441"/>
      <c r="K149" s="441"/>
      <c r="L149" s="441"/>
      <c r="M149" s="441"/>
      <c r="N149" s="441"/>
      <c r="O149" s="441"/>
      <c r="P149" s="441"/>
      <c r="Q149" s="441"/>
      <c r="R149" s="441"/>
      <c r="S149" s="441"/>
      <c r="T149" s="441"/>
      <c r="U149" s="441"/>
      <c r="V149" s="441"/>
      <c r="W149" s="441"/>
      <c r="X149" s="441"/>
      <c r="Y149" s="441"/>
      <c r="Z149" s="441"/>
      <c r="AA149" s="441"/>
      <c r="AB149" s="21"/>
      <c r="AC149" s="21"/>
      <c r="AD149" s="21"/>
      <c r="AE149" s="370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</row>
    <row r="150">
      <c r="A150" s="440"/>
      <c r="B150" s="434"/>
      <c r="C150" s="435" t="str">
        <f>IFERROR(__xludf.DUMMYFUNCTION("IF(ISBLANK($B150),"""",query('Saída'!$K$3:$R$505,""Select R where N = '""&amp;$B150&amp;""' and K = ""&amp;$A150,0))"),"")</f>
        <v/>
      </c>
      <c r="D150" s="436"/>
      <c r="E150" s="438" t="str">
        <f>IFERROR(__xludf.DUMMYFUNCTION("if(isblank($B150),"""",split(rept(0&amp;""-"",month(query('Saída'!$J$3:$R$505,""Select M where N = '""&amp;$B150&amp;""' and K = ""&amp;$A150,0))-1)&amp;rept(query('Saída'!$J$3:$R$505,""Select Q where N = '""&amp;$B150&amp;""' and K = ""&amp;$A150,0)&amp;""-"",query('Saída'!$J$3:$R$505,""Se"&amp;"lect P where N = '""&amp;$B150&amp;""' and K = ""&amp;$A150,0)),""-""))"),"  ")</f>
        <v/>
      </c>
      <c r="F150" s="441"/>
      <c r="G150" s="441"/>
      <c r="H150" s="441"/>
      <c r="I150" s="441"/>
      <c r="J150" s="441"/>
      <c r="K150" s="441"/>
      <c r="L150" s="441"/>
      <c r="M150" s="441"/>
      <c r="N150" s="441"/>
      <c r="O150" s="441"/>
      <c r="P150" s="441"/>
      <c r="Q150" s="441"/>
      <c r="R150" s="441"/>
      <c r="S150" s="441"/>
      <c r="T150" s="441"/>
      <c r="U150" s="441"/>
      <c r="V150" s="441"/>
      <c r="W150" s="441"/>
      <c r="X150" s="441"/>
      <c r="Y150" s="441"/>
      <c r="Z150" s="441"/>
      <c r="AA150" s="441"/>
      <c r="AB150" s="21"/>
      <c r="AC150" s="21"/>
      <c r="AD150" s="21"/>
      <c r="AE150" s="370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</row>
    <row r="151">
      <c r="A151" s="440"/>
      <c r="B151" s="434"/>
      <c r="C151" s="435" t="str">
        <f>IFERROR(__xludf.DUMMYFUNCTION("IF(ISBLANK($B151),"""",query('Saída'!$K$3:$R$505,""Select R where N = '""&amp;$B151&amp;""' and K = ""&amp;$A151,0))"),"")</f>
        <v/>
      </c>
      <c r="D151" s="436"/>
      <c r="E151" s="438" t="str">
        <f>IFERROR(__xludf.DUMMYFUNCTION("if(isblank($B151),"""",split(rept(0&amp;""-"",month(query('Saída'!$J$3:$R$505,""Select M where N = '""&amp;$B151&amp;""' and K = ""&amp;$A151,0))-1)&amp;rept(query('Saída'!$J$3:$R$505,""Select Q where N = '""&amp;$B151&amp;""' and K = ""&amp;$A151,0)&amp;""-"",query('Saída'!$J$3:$R$505,""Se"&amp;"lect P where N = '""&amp;$B151&amp;""' and K = ""&amp;$A151,0)),""-""))"),"  ")</f>
        <v/>
      </c>
      <c r="F151" s="441"/>
      <c r="G151" s="441"/>
      <c r="H151" s="441"/>
      <c r="I151" s="441"/>
      <c r="J151" s="441"/>
      <c r="K151" s="441"/>
      <c r="L151" s="441"/>
      <c r="M151" s="441"/>
      <c r="N151" s="441"/>
      <c r="O151" s="441"/>
      <c r="P151" s="441"/>
      <c r="Q151" s="441"/>
      <c r="R151" s="441"/>
      <c r="S151" s="441"/>
      <c r="T151" s="441"/>
      <c r="U151" s="441"/>
      <c r="V151" s="441"/>
      <c r="W151" s="441"/>
      <c r="X151" s="441"/>
      <c r="Y151" s="441"/>
      <c r="Z151" s="441"/>
      <c r="AA151" s="441"/>
      <c r="AB151" s="21"/>
      <c r="AC151" s="21"/>
      <c r="AD151" s="21"/>
      <c r="AE151" s="370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</row>
    <row r="152">
      <c r="A152" s="440"/>
      <c r="B152" s="434"/>
      <c r="C152" s="435" t="str">
        <f>IFERROR(__xludf.DUMMYFUNCTION("IF(ISBLANK($B152),"""",query('Saída'!$K$3:$R$505,""Select R where N = '""&amp;$B152&amp;""' and K = ""&amp;$A152,0))"),"")</f>
        <v/>
      </c>
      <c r="D152" s="436"/>
      <c r="E152" s="438" t="str">
        <f>IFERROR(__xludf.DUMMYFUNCTION("if(isblank($B152),"""",split(rept(0&amp;""-"",month(query('Saída'!$J$3:$R$505,""Select M where N = '""&amp;$B152&amp;""' and K = ""&amp;$A152,0))-1)&amp;rept(query('Saída'!$J$3:$R$505,""Select Q where N = '""&amp;$B152&amp;""' and K = ""&amp;$A152,0)&amp;""-"",query('Saída'!$J$3:$R$505,""Se"&amp;"lect P where N = '""&amp;$B152&amp;""' and K = ""&amp;$A152,0)),""-""))"),"  ")</f>
        <v/>
      </c>
      <c r="F152" s="441"/>
      <c r="G152" s="441"/>
      <c r="H152" s="441"/>
      <c r="I152" s="441"/>
      <c r="J152" s="441"/>
      <c r="K152" s="441"/>
      <c r="L152" s="441"/>
      <c r="M152" s="441"/>
      <c r="N152" s="441"/>
      <c r="O152" s="441"/>
      <c r="P152" s="441"/>
      <c r="Q152" s="441"/>
      <c r="R152" s="441"/>
      <c r="S152" s="441"/>
      <c r="T152" s="441"/>
      <c r="U152" s="441"/>
      <c r="V152" s="441"/>
      <c r="W152" s="441"/>
      <c r="X152" s="441"/>
      <c r="Y152" s="441"/>
      <c r="Z152" s="441"/>
      <c r="AA152" s="441"/>
      <c r="AB152" s="21"/>
      <c r="AC152" s="21"/>
      <c r="AD152" s="21"/>
      <c r="AE152" s="370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</row>
    <row r="153">
      <c r="A153" s="440"/>
      <c r="B153" s="434"/>
      <c r="C153" s="435" t="str">
        <f>IFERROR(__xludf.DUMMYFUNCTION("IF(ISBLANK($B153),"""",query('Saída'!$K$3:$R$505,""Select R where N = '""&amp;$B153&amp;""' and K = ""&amp;$A153,0))"),"")</f>
        <v/>
      </c>
      <c r="D153" s="436"/>
      <c r="E153" s="438" t="str">
        <f>IFERROR(__xludf.DUMMYFUNCTION("if(isblank($B153),"""",split(rept(0&amp;""-"",month(query('Saída'!$J$3:$R$505,""Select M where N = '""&amp;$B153&amp;""' and K = ""&amp;$A153,0))-1)&amp;rept(query('Saída'!$J$3:$R$505,""Select Q where N = '""&amp;$B153&amp;""' and K = ""&amp;$A153,0)&amp;""-"",query('Saída'!$J$3:$R$505,""Se"&amp;"lect P where N = '""&amp;$B153&amp;""' and K = ""&amp;$A153,0)),""-""))"),"  ")</f>
        <v/>
      </c>
      <c r="F153" s="441"/>
      <c r="G153" s="441"/>
      <c r="H153" s="441"/>
      <c r="I153" s="441"/>
      <c r="J153" s="441"/>
      <c r="K153" s="441"/>
      <c r="L153" s="441"/>
      <c r="M153" s="441"/>
      <c r="N153" s="441"/>
      <c r="O153" s="441"/>
      <c r="P153" s="441"/>
      <c r="Q153" s="441"/>
      <c r="R153" s="441"/>
      <c r="S153" s="441"/>
      <c r="T153" s="441"/>
      <c r="U153" s="441"/>
      <c r="V153" s="441"/>
      <c r="W153" s="441"/>
      <c r="X153" s="441"/>
      <c r="Y153" s="441"/>
      <c r="Z153" s="441"/>
      <c r="AA153" s="441"/>
      <c r="AB153" s="21"/>
      <c r="AC153" s="21"/>
      <c r="AD153" s="21"/>
      <c r="AE153" s="370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</row>
    <row r="154">
      <c r="A154" s="440"/>
      <c r="B154" s="434"/>
      <c r="C154" s="435" t="str">
        <f>IFERROR(__xludf.DUMMYFUNCTION("IF(ISBLANK($B154),"""",query('Saída'!$K$3:$R$505,""Select R where N = '""&amp;$B154&amp;""' and K = ""&amp;$A154,0))"),"")</f>
        <v/>
      </c>
      <c r="D154" s="436"/>
      <c r="E154" s="438" t="str">
        <f>IFERROR(__xludf.DUMMYFUNCTION("if(isblank($B154),"""",split(rept(0&amp;""-"",month(query('Saída'!$J$3:$R$505,""Select M where N = '""&amp;$B154&amp;""' and K = ""&amp;$A154,0))-1)&amp;rept(query('Saída'!$J$3:$R$505,""Select Q where N = '""&amp;$B154&amp;""' and K = ""&amp;$A154,0)&amp;""-"",query('Saída'!$J$3:$R$505,""Se"&amp;"lect P where N = '""&amp;$B154&amp;""' and K = ""&amp;$A154,0)),""-""))"),"  ")</f>
        <v/>
      </c>
      <c r="F154" s="441"/>
      <c r="G154" s="441"/>
      <c r="H154" s="441"/>
      <c r="I154" s="441"/>
      <c r="J154" s="441"/>
      <c r="K154" s="441"/>
      <c r="L154" s="441"/>
      <c r="M154" s="441"/>
      <c r="N154" s="441"/>
      <c r="O154" s="441"/>
      <c r="P154" s="441"/>
      <c r="Q154" s="441"/>
      <c r="R154" s="441"/>
      <c r="S154" s="441"/>
      <c r="T154" s="441"/>
      <c r="U154" s="441"/>
      <c r="V154" s="441"/>
      <c r="W154" s="441"/>
      <c r="X154" s="441"/>
      <c r="Y154" s="441"/>
      <c r="Z154" s="441"/>
      <c r="AA154" s="441"/>
      <c r="AB154" s="21"/>
      <c r="AC154" s="21"/>
      <c r="AD154" s="21"/>
      <c r="AE154" s="370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</row>
    <row r="155">
      <c r="A155" s="440"/>
      <c r="B155" s="434"/>
      <c r="C155" s="435" t="str">
        <f>IFERROR(__xludf.DUMMYFUNCTION("IF(ISBLANK($B155),"""",query('Saída'!$K$3:$R$505,""Select R where N = '""&amp;$B155&amp;""' and K = ""&amp;$A155,0))"),"")</f>
        <v/>
      </c>
      <c r="D155" s="436"/>
      <c r="E155" s="438" t="str">
        <f>IFERROR(__xludf.DUMMYFUNCTION("if(isblank($B155),"""",split(rept(0&amp;""-"",month(query('Saída'!$J$3:$R$505,""Select M where N = '""&amp;$B155&amp;""' and K = ""&amp;$A155,0))-1)&amp;rept(query('Saída'!$J$3:$R$505,""Select Q where N = '""&amp;$B155&amp;""' and K = ""&amp;$A155,0)&amp;""-"",query('Saída'!$J$3:$R$505,""Se"&amp;"lect P where N = '""&amp;$B155&amp;""' and K = ""&amp;$A155,0)),""-""))"),"  ")</f>
        <v/>
      </c>
      <c r="F155" s="441"/>
      <c r="G155" s="441"/>
      <c r="H155" s="441"/>
      <c r="I155" s="441"/>
      <c r="J155" s="441"/>
      <c r="K155" s="441"/>
      <c r="L155" s="441"/>
      <c r="M155" s="441"/>
      <c r="N155" s="441"/>
      <c r="O155" s="441"/>
      <c r="P155" s="441"/>
      <c r="Q155" s="441"/>
      <c r="R155" s="441"/>
      <c r="S155" s="441"/>
      <c r="T155" s="441"/>
      <c r="U155" s="441"/>
      <c r="V155" s="441"/>
      <c r="W155" s="441"/>
      <c r="X155" s="441"/>
      <c r="Y155" s="441"/>
      <c r="Z155" s="441"/>
      <c r="AA155" s="441"/>
      <c r="AB155" s="21"/>
      <c r="AC155" s="21"/>
      <c r="AD155" s="21"/>
      <c r="AE155" s="370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</row>
    <row r="156">
      <c r="A156" s="440"/>
      <c r="B156" s="434"/>
      <c r="C156" s="435" t="str">
        <f>IFERROR(__xludf.DUMMYFUNCTION("IF(ISBLANK($B156),"""",query('Saída'!$K$3:$R$505,""Select R where N = '""&amp;$B156&amp;""' and K = ""&amp;$A156,0))"),"")</f>
        <v/>
      </c>
      <c r="D156" s="436"/>
      <c r="E156" s="438" t="str">
        <f>IFERROR(__xludf.DUMMYFUNCTION("if(isblank($B156),"""",split(rept(0&amp;""-"",month(query('Saída'!$J$3:$R$505,""Select M where N = '""&amp;$B156&amp;""' and K = ""&amp;$A156,0))-1)&amp;rept(query('Saída'!$J$3:$R$505,""Select Q where N = '""&amp;$B156&amp;""' and K = ""&amp;$A156,0)&amp;""-"",query('Saída'!$J$3:$R$505,""Se"&amp;"lect P where N = '""&amp;$B156&amp;""' and K = ""&amp;$A156,0)),""-""))"),"  ")</f>
        <v/>
      </c>
      <c r="F156" s="441"/>
      <c r="G156" s="441"/>
      <c r="H156" s="441"/>
      <c r="I156" s="441"/>
      <c r="J156" s="441"/>
      <c r="K156" s="441"/>
      <c r="L156" s="441"/>
      <c r="M156" s="441"/>
      <c r="N156" s="441"/>
      <c r="O156" s="441"/>
      <c r="P156" s="441"/>
      <c r="Q156" s="441"/>
      <c r="R156" s="441"/>
      <c r="S156" s="441"/>
      <c r="T156" s="441"/>
      <c r="U156" s="441"/>
      <c r="V156" s="441"/>
      <c r="W156" s="441"/>
      <c r="X156" s="441"/>
      <c r="Y156" s="441"/>
      <c r="Z156" s="441"/>
      <c r="AA156" s="441"/>
      <c r="AB156" s="21"/>
      <c r="AC156" s="21"/>
      <c r="AD156" s="21"/>
      <c r="AE156" s="370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</row>
    <row r="157">
      <c r="A157" s="440"/>
      <c r="B157" s="434"/>
      <c r="C157" s="435" t="str">
        <f>IFERROR(__xludf.DUMMYFUNCTION("IF(ISBLANK($B157),"""",query('Saída'!$K$3:$R$505,""Select R where N = '""&amp;$B157&amp;""' and K = ""&amp;$A157,0))"),"")</f>
        <v/>
      </c>
      <c r="D157" s="436"/>
      <c r="E157" s="438" t="str">
        <f>IFERROR(__xludf.DUMMYFUNCTION("if(isblank($B157),"""",split(rept(0&amp;""-"",month(query('Saída'!$J$3:$R$505,""Select M where N = '""&amp;$B157&amp;""' and K = ""&amp;$A157,0))-1)&amp;rept(query('Saída'!$J$3:$R$505,""Select Q where N = '""&amp;$B157&amp;""' and K = ""&amp;$A157,0)&amp;""-"",query('Saída'!$J$3:$R$505,""Se"&amp;"lect P where N = '""&amp;$B157&amp;""' and K = ""&amp;$A157,0)),""-""))"),"  ")</f>
        <v/>
      </c>
      <c r="F157" s="441"/>
      <c r="G157" s="441"/>
      <c r="H157" s="441"/>
      <c r="I157" s="441"/>
      <c r="J157" s="441"/>
      <c r="K157" s="441"/>
      <c r="L157" s="441"/>
      <c r="M157" s="441"/>
      <c r="N157" s="441"/>
      <c r="O157" s="441"/>
      <c r="P157" s="441"/>
      <c r="Q157" s="441"/>
      <c r="R157" s="441"/>
      <c r="S157" s="441"/>
      <c r="T157" s="441"/>
      <c r="U157" s="441"/>
      <c r="V157" s="441"/>
      <c r="W157" s="441"/>
      <c r="X157" s="441"/>
      <c r="Y157" s="441"/>
      <c r="Z157" s="441"/>
      <c r="AA157" s="441"/>
      <c r="AB157" s="21"/>
      <c r="AC157" s="21"/>
      <c r="AD157" s="21"/>
      <c r="AE157" s="370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</row>
    <row r="158">
      <c r="A158" s="440"/>
      <c r="B158" s="434"/>
      <c r="C158" s="435" t="str">
        <f>IFERROR(__xludf.DUMMYFUNCTION("IF(ISBLANK($B158),"""",query('Saída'!$K$3:$R$505,""Select R where N = '""&amp;$B158&amp;""' and K = ""&amp;$A158,0))"),"")</f>
        <v/>
      </c>
      <c r="D158" s="436"/>
      <c r="E158" s="438" t="str">
        <f>IFERROR(__xludf.DUMMYFUNCTION("if(isblank($B158),"""",split(rept(0&amp;""-"",month(query('Saída'!$J$3:$R$505,""Select M where N = '""&amp;$B158&amp;""' and K = ""&amp;$A158,0))-1)&amp;rept(query('Saída'!$J$3:$R$505,""Select Q where N = '""&amp;$B158&amp;""' and K = ""&amp;$A158,0)&amp;""-"",query('Saída'!$J$3:$R$505,""Se"&amp;"lect P where N = '""&amp;$B158&amp;""' and K = ""&amp;$A158,0)),""-""))"),"  ")</f>
        <v/>
      </c>
      <c r="F158" s="441"/>
      <c r="G158" s="441"/>
      <c r="H158" s="441"/>
      <c r="I158" s="441"/>
      <c r="J158" s="441"/>
      <c r="K158" s="441"/>
      <c r="L158" s="441"/>
      <c r="M158" s="441"/>
      <c r="N158" s="441"/>
      <c r="O158" s="441"/>
      <c r="P158" s="441"/>
      <c r="Q158" s="441"/>
      <c r="R158" s="441"/>
      <c r="S158" s="441"/>
      <c r="T158" s="441"/>
      <c r="U158" s="441"/>
      <c r="V158" s="441"/>
      <c r="W158" s="441"/>
      <c r="X158" s="441"/>
      <c r="Y158" s="441"/>
      <c r="Z158" s="441"/>
      <c r="AA158" s="441"/>
      <c r="AB158" s="21"/>
      <c r="AC158" s="21"/>
      <c r="AD158" s="21"/>
      <c r="AE158" s="370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</row>
    <row r="159">
      <c r="A159" s="440"/>
      <c r="B159" s="434"/>
      <c r="C159" s="435" t="str">
        <f>IFERROR(__xludf.DUMMYFUNCTION("IF(ISBLANK($B159),"""",query('Saída'!$K$3:$R$505,""Select R where N = '""&amp;$B159&amp;""' and K = ""&amp;$A159,0))"),"")</f>
        <v/>
      </c>
      <c r="D159" s="436"/>
      <c r="E159" s="438" t="str">
        <f>IFERROR(__xludf.DUMMYFUNCTION("if(isblank($B159),"""",split(rept(0&amp;""-"",month(query('Saída'!$J$3:$R$505,""Select M where N = '""&amp;$B159&amp;""' and K = ""&amp;$A159,0))-1)&amp;rept(query('Saída'!$J$3:$R$505,""Select Q where N = '""&amp;$B159&amp;""' and K = ""&amp;$A159,0)&amp;""-"",query('Saída'!$J$3:$R$505,""Se"&amp;"lect P where N = '""&amp;$B159&amp;""' and K = ""&amp;$A159,0)),""-""))"),"  ")</f>
        <v/>
      </c>
      <c r="F159" s="441"/>
      <c r="G159" s="441"/>
      <c r="H159" s="441"/>
      <c r="I159" s="441"/>
      <c r="J159" s="441"/>
      <c r="K159" s="441"/>
      <c r="L159" s="441"/>
      <c r="M159" s="441"/>
      <c r="N159" s="441"/>
      <c r="O159" s="441"/>
      <c r="P159" s="441"/>
      <c r="Q159" s="441"/>
      <c r="R159" s="441"/>
      <c r="S159" s="441"/>
      <c r="T159" s="441"/>
      <c r="U159" s="441"/>
      <c r="V159" s="441"/>
      <c r="W159" s="441"/>
      <c r="X159" s="441"/>
      <c r="Y159" s="441"/>
      <c r="Z159" s="441"/>
      <c r="AA159" s="441"/>
      <c r="AB159" s="21"/>
      <c r="AC159" s="21"/>
      <c r="AD159" s="21"/>
      <c r="AE159" s="370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</row>
    <row r="160">
      <c r="A160" s="440"/>
      <c r="B160" s="434"/>
      <c r="C160" s="435" t="str">
        <f>IFERROR(__xludf.DUMMYFUNCTION("IF(ISBLANK($B160),"""",query('Saída'!$K$3:$R$505,""Select R where N = '""&amp;$B160&amp;""' and K = ""&amp;$A160,0))"),"")</f>
        <v/>
      </c>
      <c r="D160" s="436"/>
      <c r="E160" s="438" t="str">
        <f>IFERROR(__xludf.DUMMYFUNCTION("if(isblank($B160),"""",split(rept(0&amp;""-"",month(query('Saída'!$J$3:$R$505,""Select M where N = '""&amp;$B160&amp;""' and K = ""&amp;$A160,0))-1)&amp;rept(query('Saída'!$J$3:$R$505,""Select Q where N = '""&amp;$B160&amp;""' and K = ""&amp;$A160,0)&amp;""-"",query('Saída'!$J$3:$R$505,""Se"&amp;"lect P where N = '""&amp;$B160&amp;""' and K = ""&amp;$A160,0)),""-""))"),"  ")</f>
        <v/>
      </c>
      <c r="F160" s="441"/>
      <c r="G160" s="441"/>
      <c r="H160" s="441"/>
      <c r="I160" s="441"/>
      <c r="J160" s="441"/>
      <c r="K160" s="441"/>
      <c r="L160" s="441"/>
      <c r="M160" s="441"/>
      <c r="N160" s="441"/>
      <c r="O160" s="441"/>
      <c r="P160" s="441"/>
      <c r="Q160" s="441"/>
      <c r="R160" s="441"/>
      <c r="S160" s="441"/>
      <c r="T160" s="441"/>
      <c r="U160" s="441"/>
      <c r="V160" s="441"/>
      <c r="W160" s="441"/>
      <c r="X160" s="441"/>
      <c r="Y160" s="441"/>
      <c r="Z160" s="441"/>
      <c r="AA160" s="441"/>
      <c r="AB160" s="21"/>
      <c r="AC160" s="21"/>
      <c r="AD160" s="21"/>
      <c r="AE160" s="370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</row>
    <row r="161">
      <c r="A161" s="440"/>
      <c r="B161" s="434"/>
      <c r="C161" s="435" t="str">
        <f>IFERROR(__xludf.DUMMYFUNCTION("IF(ISBLANK($B161),"""",query('Saída'!$K$3:$R$505,""Select R where N = '""&amp;$B161&amp;""' and K = ""&amp;$A161,0))"),"")</f>
        <v/>
      </c>
      <c r="D161" s="436"/>
      <c r="E161" s="438" t="str">
        <f>IFERROR(__xludf.DUMMYFUNCTION("if(isblank($B161),"""",split(rept(0&amp;""-"",month(query('Saída'!$J$3:$R$505,""Select M where N = '""&amp;$B161&amp;""' and K = ""&amp;$A161,0))-1)&amp;rept(query('Saída'!$J$3:$R$505,""Select Q where N = '""&amp;$B161&amp;""' and K = ""&amp;$A161,0)&amp;""-"",query('Saída'!$J$3:$R$505,""Se"&amp;"lect P where N = '""&amp;$B161&amp;""' and K = ""&amp;$A161,0)),""-""))"),"  ")</f>
        <v/>
      </c>
      <c r="F161" s="441"/>
      <c r="G161" s="441"/>
      <c r="H161" s="441"/>
      <c r="I161" s="441"/>
      <c r="J161" s="441"/>
      <c r="K161" s="441"/>
      <c r="L161" s="441"/>
      <c r="M161" s="441"/>
      <c r="N161" s="441"/>
      <c r="O161" s="441"/>
      <c r="P161" s="441"/>
      <c r="Q161" s="441"/>
      <c r="R161" s="441"/>
      <c r="S161" s="441"/>
      <c r="T161" s="441"/>
      <c r="U161" s="441"/>
      <c r="V161" s="441"/>
      <c r="W161" s="441"/>
      <c r="X161" s="441"/>
      <c r="Y161" s="441"/>
      <c r="Z161" s="441"/>
      <c r="AA161" s="441"/>
      <c r="AB161" s="21"/>
      <c r="AC161" s="21"/>
      <c r="AD161" s="21"/>
      <c r="AE161" s="370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</row>
    <row r="162">
      <c r="A162" s="440"/>
      <c r="B162" s="434"/>
      <c r="C162" s="435" t="str">
        <f>IFERROR(__xludf.DUMMYFUNCTION("IF(ISBLANK($B162),"""",query('Saída'!$K$3:$R$505,""Select R where N = '""&amp;$B162&amp;""' and K = ""&amp;$A162,0))"),"")</f>
        <v/>
      </c>
      <c r="D162" s="436"/>
      <c r="E162" s="438" t="str">
        <f>IFERROR(__xludf.DUMMYFUNCTION("if(isblank($B162),"""",split(rept(0&amp;""-"",month(query('Saída'!$J$3:$R$505,""Select M where N = '""&amp;$B162&amp;""' and K = ""&amp;$A162,0))-1)&amp;rept(query('Saída'!$J$3:$R$505,""Select Q where N = '""&amp;$B162&amp;""' and K = ""&amp;$A162,0)&amp;""-"",query('Saída'!$J$3:$R$505,""Se"&amp;"lect P where N = '""&amp;$B162&amp;""' and K = ""&amp;$A162,0)),""-""))"),"  ")</f>
        <v/>
      </c>
      <c r="F162" s="441"/>
      <c r="G162" s="441"/>
      <c r="H162" s="441"/>
      <c r="I162" s="441"/>
      <c r="J162" s="441"/>
      <c r="K162" s="441"/>
      <c r="L162" s="441"/>
      <c r="M162" s="441"/>
      <c r="N162" s="441"/>
      <c r="O162" s="441"/>
      <c r="P162" s="441"/>
      <c r="Q162" s="441"/>
      <c r="R162" s="441"/>
      <c r="S162" s="441"/>
      <c r="T162" s="441"/>
      <c r="U162" s="441"/>
      <c r="V162" s="441"/>
      <c r="W162" s="441"/>
      <c r="X162" s="441"/>
      <c r="Y162" s="441"/>
      <c r="Z162" s="441"/>
      <c r="AA162" s="441"/>
      <c r="AB162" s="21"/>
      <c r="AC162" s="21"/>
      <c r="AD162" s="21"/>
      <c r="AE162" s="370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</row>
    <row r="163">
      <c r="A163" s="440"/>
      <c r="B163" s="434"/>
      <c r="C163" s="435" t="str">
        <f>IFERROR(__xludf.DUMMYFUNCTION("IF(ISBLANK($B163),"""",query('Saída'!$K$3:$R$505,""Select R where N = '""&amp;$B163&amp;""' and K = ""&amp;$A163,0))"),"")</f>
        <v/>
      </c>
      <c r="D163" s="436"/>
      <c r="E163" s="438" t="str">
        <f>IFERROR(__xludf.DUMMYFUNCTION("if(isblank($B163),"""",split(rept(0&amp;""-"",month(query('Saída'!$J$3:$R$505,""Select M where N = '""&amp;$B163&amp;""' and K = ""&amp;$A163,0))-1)&amp;rept(query('Saída'!$J$3:$R$505,""Select Q where N = '""&amp;$B163&amp;""' and K = ""&amp;$A163,0)&amp;""-"",query('Saída'!$J$3:$R$505,""Se"&amp;"lect P where N = '""&amp;$B163&amp;""' and K = ""&amp;$A163,0)),""-""))"),"  ")</f>
        <v/>
      </c>
      <c r="F163" s="441"/>
      <c r="G163" s="441"/>
      <c r="H163" s="441"/>
      <c r="I163" s="441"/>
      <c r="J163" s="441"/>
      <c r="K163" s="441"/>
      <c r="L163" s="441"/>
      <c r="M163" s="441"/>
      <c r="N163" s="441"/>
      <c r="O163" s="441"/>
      <c r="P163" s="441"/>
      <c r="Q163" s="441"/>
      <c r="R163" s="441"/>
      <c r="S163" s="441"/>
      <c r="T163" s="441"/>
      <c r="U163" s="441"/>
      <c r="V163" s="441"/>
      <c r="W163" s="441"/>
      <c r="X163" s="441"/>
      <c r="Y163" s="441"/>
      <c r="Z163" s="441"/>
      <c r="AA163" s="441"/>
      <c r="AB163" s="21"/>
      <c r="AC163" s="21"/>
      <c r="AD163" s="21"/>
      <c r="AE163" s="370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</row>
    <row r="164">
      <c r="A164" s="440"/>
      <c r="B164" s="434"/>
      <c r="C164" s="435" t="str">
        <f>IFERROR(__xludf.DUMMYFUNCTION("IF(ISBLANK($B164),"""",query('Saída'!$K$3:$R$505,""Select R where N = '""&amp;$B164&amp;""' and K = ""&amp;$A164,0))"),"")</f>
        <v/>
      </c>
      <c r="D164" s="436"/>
      <c r="E164" s="438" t="str">
        <f>IFERROR(__xludf.DUMMYFUNCTION("if(isblank($B164),"""",split(rept(0&amp;""-"",month(query('Saída'!$J$3:$R$505,""Select M where N = '""&amp;$B164&amp;""' and K = ""&amp;$A164,0))-1)&amp;rept(query('Saída'!$J$3:$R$505,""Select Q where N = '""&amp;$B164&amp;""' and K = ""&amp;$A164,0)&amp;""-"",query('Saída'!$J$3:$R$505,""Se"&amp;"lect P where N = '""&amp;$B164&amp;""' and K = ""&amp;$A164,0)),""-""))"),"  ")</f>
        <v/>
      </c>
      <c r="F164" s="441"/>
      <c r="G164" s="441"/>
      <c r="H164" s="441"/>
      <c r="I164" s="441"/>
      <c r="J164" s="441"/>
      <c r="K164" s="441"/>
      <c r="L164" s="441"/>
      <c r="M164" s="441"/>
      <c r="N164" s="441"/>
      <c r="O164" s="441"/>
      <c r="P164" s="441"/>
      <c r="Q164" s="441"/>
      <c r="R164" s="441"/>
      <c r="S164" s="441"/>
      <c r="T164" s="441"/>
      <c r="U164" s="441"/>
      <c r="V164" s="441"/>
      <c r="W164" s="441"/>
      <c r="X164" s="441"/>
      <c r="Y164" s="441"/>
      <c r="Z164" s="441"/>
      <c r="AA164" s="441"/>
      <c r="AB164" s="21"/>
      <c r="AC164" s="21"/>
      <c r="AD164" s="21"/>
      <c r="AE164" s="370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</row>
    <row r="165">
      <c r="A165" s="440"/>
      <c r="B165" s="434"/>
      <c r="C165" s="435" t="str">
        <f>IFERROR(__xludf.DUMMYFUNCTION("IF(ISBLANK($B165),"""",query('Saída'!$K$3:$R$505,""Select R where N = '""&amp;$B165&amp;""' and K = ""&amp;$A165,0))"),"")</f>
        <v/>
      </c>
      <c r="D165" s="436"/>
      <c r="E165" s="438" t="str">
        <f>IFERROR(__xludf.DUMMYFUNCTION("if(isblank($B165),"""",split(rept(0&amp;""-"",month(query('Saída'!$J$3:$R$505,""Select M where N = '""&amp;$B165&amp;""' and K = ""&amp;$A165,0))-1)&amp;rept(query('Saída'!$J$3:$R$505,""Select Q where N = '""&amp;$B165&amp;""' and K = ""&amp;$A165,0)&amp;""-"",query('Saída'!$J$3:$R$505,""Se"&amp;"lect P where N = '""&amp;$B165&amp;""' and K = ""&amp;$A165,0)),""-""))"),"  ")</f>
        <v/>
      </c>
      <c r="F165" s="441"/>
      <c r="G165" s="441"/>
      <c r="H165" s="441"/>
      <c r="I165" s="441"/>
      <c r="J165" s="441"/>
      <c r="K165" s="441"/>
      <c r="L165" s="441"/>
      <c r="M165" s="441"/>
      <c r="N165" s="441"/>
      <c r="O165" s="441"/>
      <c r="P165" s="441"/>
      <c r="Q165" s="441"/>
      <c r="R165" s="441"/>
      <c r="S165" s="441"/>
      <c r="T165" s="441"/>
      <c r="U165" s="441"/>
      <c r="V165" s="441"/>
      <c r="W165" s="441"/>
      <c r="X165" s="441"/>
      <c r="Y165" s="441"/>
      <c r="Z165" s="441"/>
      <c r="AA165" s="441"/>
      <c r="AB165" s="21"/>
      <c r="AC165" s="21"/>
      <c r="AD165" s="21"/>
      <c r="AE165" s="370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</row>
    <row r="166">
      <c r="A166" s="440"/>
      <c r="B166" s="434"/>
      <c r="C166" s="435" t="str">
        <f>IFERROR(__xludf.DUMMYFUNCTION("IF(ISBLANK($B166),"""",query('Saída'!$K$3:$R$505,""Select R where N = '""&amp;$B166&amp;""' and K = ""&amp;$A166,0))"),"")</f>
        <v/>
      </c>
      <c r="D166" s="436"/>
      <c r="E166" s="438" t="str">
        <f>IFERROR(__xludf.DUMMYFUNCTION("if(isblank($B166),"""",split(rept(0&amp;""-"",month(query('Saída'!$J$3:$R$505,""Select M where N = '""&amp;$B166&amp;""' and K = ""&amp;$A166,0))-1)&amp;rept(query('Saída'!$J$3:$R$505,""Select Q where N = '""&amp;$B166&amp;""' and K = ""&amp;$A166,0)&amp;""-"",query('Saída'!$J$3:$R$505,""Se"&amp;"lect P where N = '""&amp;$B166&amp;""' and K = ""&amp;$A166,0)),""-""))"),"  ")</f>
        <v/>
      </c>
      <c r="F166" s="441"/>
      <c r="G166" s="441"/>
      <c r="H166" s="441"/>
      <c r="I166" s="441"/>
      <c r="J166" s="441"/>
      <c r="K166" s="441"/>
      <c r="L166" s="441"/>
      <c r="M166" s="441"/>
      <c r="N166" s="441"/>
      <c r="O166" s="441"/>
      <c r="P166" s="441"/>
      <c r="Q166" s="441"/>
      <c r="R166" s="441"/>
      <c r="S166" s="441"/>
      <c r="T166" s="441"/>
      <c r="U166" s="441"/>
      <c r="V166" s="441"/>
      <c r="W166" s="441"/>
      <c r="X166" s="441"/>
      <c r="Y166" s="441"/>
      <c r="Z166" s="441"/>
      <c r="AA166" s="441"/>
      <c r="AB166" s="21"/>
      <c r="AC166" s="21"/>
      <c r="AD166" s="21"/>
      <c r="AE166" s="370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</row>
    <row r="167">
      <c r="A167" s="440"/>
      <c r="B167" s="434"/>
      <c r="C167" s="435" t="str">
        <f>IFERROR(__xludf.DUMMYFUNCTION("IF(ISBLANK($B167),"""",query('Saída'!$K$3:$R$505,""Select R where N = '""&amp;$B167&amp;""' and K = ""&amp;$A167,0))"),"")</f>
        <v/>
      </c>
      <c r="D167" s="436"/>
      <c r="E167" s="438" t="str">
        <f>IFERROR(__xludf.DUMMYFUNCTION("if(isblank($B167),"""",split(rept(0&amp;""-"",month(query('Saída'!$J$3:$R$505,""Select M where N = '""&amp;$B167&amp;""' and K = ""&amp;$A167,0))-1)&amp;rept(query('Saída'!$J$3:$R$505,""Select Q where N = '""&amp;$B167&amp;""' and K = ""&amp;$A167,0)&amp;""-"",query('Saída'!$J$3:$R$505,""Se"&amp;"lect P where N = '""&amp;$B167&amp;""' and K = ""&amp;$A167,0)),""-""))"),"  ")</f>
        <v/>
      </c>
      <c r="F167" s="441"/>
      <c r="G167" s="441"/>
      <c r="H167" s="441"/>
      <c r="I167" s="441"/>
      <c r="J167" s="441"/>
      <c r="K167" s="441"/>
      <c r="L167" s="441"/>
      <c r="M167" s="441"/>
      <c r="N167" s="441"/>
      <c r="O167" s="441"/>
      <c r="P167" s="441"/>
      <c r="Q167" s="441"/>
      <c r="R167" s="441"/>
      <c r="S167" s="441"/>
      <c r="T167" s="441"/>
      <c r="U167" s="441"/>
      <c r="V167" s="441"/>
      <c r="W167" s="441"/>
      <c r="X167" s="441"/>
      <c r="Y167" s="441"/>
      <c r="Z167" s="441"/>
      <c r="AA167" s="441"/>
      <c r="AB167" s="21"/>
      <c r="AC167" s="21"/>
      <c r="AD167" s="21"/>
      <c r="AE167" s="370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</row>
    <row r="168">
      <c r="A168" s="440"/>
      <c r="B168" s="434"/>
      <c r="C168" s="435" t="str">
        <f>IFERROR(__xludf.DUMMYFUNCTION("IF(ISBLANK($B168),"""",query('Saída'!$K$3:$R$505,""Select R where N = '""&amp;$B168&amp;""' and K = ""&amp;$A168,0))"),"")</f>
        <v/>
      </c>
      <c r="D168" s="436"/>
      <c r="E168" s="438" t="str">
        <f>IFERROR(__xludf.DUMMYFUNCTION("if(isblank($B168),"""",split(rept(0&amp;""-"",month(query('Saída'!$J$3:$R$505,""Select M where N = '""&amp;$B168&amp;""' and K = ""&amp;$A168,0))-1)&amp;rept(query('Saída'!$J$3:$R$505,""Select Q where N = '""&amp;$B168&amp;""' and K = ""&amp;$A168,0)&amp;""-"",query('Saída'!$J$3:$R$505,""Se"&amp;"lect P where N = '""&amp;$B168&amp;""' and K = ""&amp;$A168,0)),""-""))"),"  ")</f>
        <v/>
      </c>
      <c r="F168" s="441"/>
      <c r="G168" s="441"/>
      <c r="H168" s="441"/>
      <c r="I168" s="441"/>
      <c r="J168" s="441"/>
      <c r="K168" s="441"/>
      <c r="L168" s="441"/>
      <c r="M168" s="441"/>
      <c r="N168" s="441"/>
      <c r="O168" s="441"/>
      <c r="P168" s="441"/>
      <c r="Q168" s="441"/>
      <c r="R168" s="441"/>
      <c r="S168" s="441"/>
      <c r="T168" s="441"/>
      <c r="U168" s="441"/>
      <c r="V168" s="441"/>
      <c r="W168" s="441"/>
      <c r="X168" s="441"/>
      <c r="Y168" s="441"/>
      <c r="Z168" s="441"/>
      <c r="AA168" s="441"/>
      <c r="AB168" s="21"/>
      <c r="AC168" s="21"/>
      <c r="AD168" s="21"/>
      <c r="AE168" s="370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</row>
    <row r="169">
      <c r="A169" s="440"/>
      <c r="B169" s="434"/>
      <c r="C169" s="435" t="str">
        <f>IFERROR(__xludf.DUMMYFUNCTION("IF(ISBLANK($B169),"""",query('Saída'!$K$3:$R$505,""Select R where N = '""&amp;$B169&amp;""' and K = ""&amp;$A169,0))"),"")</f>
        <v/>
      </c>
      <c r="D169" s="436"/>
      <c r="E169" s="438" t="str">
        <f>IFERROR(__xludf.DUMMYFUNCTION("if(isblank($B169),"""",split(rept(0&amp;""-"",month(query('Saída'!$J$3:$R$505,""Select M where N = '""&amp;$B169&amp;""' and K = ""&amp;$A169,0))-1)&amp;rept(query('Saída'!$J$3:$R$505,""Select Q where N = '""&amp;$B169&amp;""' and K = ""&amp;$A169,0)&amp;""-"",query('Saída'!$J$3:$R$505,""Se"&amp;"lect P where N = '""&amp;$B169&amp;""' and K = ""&amp;$A169,0)),""-""))"),"  ")</f>
        <v/>
      </c>
      <c r="F169" s="441"/>
      <c r="G169" s="441"/>
      <c r="H169" s="441"/>
      <c r="I169" s="441"/>
      <c r="J169" s="441"/>
      <c r="K169" s="441"/>
      <c r="L169" s="441"/>
      <c r="M169" s="441"/>
      <c r="N169" s="441"/>
      <c r="O169" s="441"/>
      <c r="P169" s="441"/>
      <c r="Q169" s="441"/>
      <c r="R169" s="441"/>
      <c r="S169" s="441"/>
      <c r="T169" s="441"/>
      <c r="U169" s="441"/>
      <c r="V169" s="441"/>
      <c r="W169" s="441"/>
      <c r="X169" s="441"/>
      <c r="Y169" s="441"/>
      <c r="Z169" s="441"/>
      <c r="AA169" s="441"/>
      <c r="AB169" s="21"/>
      <c r="AC169" s="21"/>
      <c r="AD169" s="21"/>
      <c r="AE169" s="370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</row>
    <row r="170">
      <c r="A170" s="440"/>
      <c r="B170" s="434"/>
      <c r="C170" s="435" t="str">
        <f>IFERROR(__xludf.DUMMYFUNCTION("IF(ISBLANK($B170),"""",query('Saída'!$K$3:$R$505,""Select R where N = '""&amp;$B170&amp;""' and K = ""&amp;$A170,0))"),"")</f>
        <v/>
      </c>
      <c r="D170" s="436"/>
      <c r="E170" s="438" t="str">
        <f>IFERROR(__xludf.DUMMYFUNCTION("if(isblank($B170),"""",split(rept(0&amp;""-"",month(query('Saída'!$J$3:$R$505,""Select M where N = '""&amp;$B170&amp;""' and K = ""&amp;$A170,0))-1)&amp;rept(query('Saída'!$J$3:$R$505,""Select Q where N = '""&amp;$B170&amp;""' and K = ""&amp;$A170,0)&amp;""-"",query('Saída'!$J$3:$R$505,""Se"&amp;"lect P where N = '""&amp;$B170&amp;""' and K = ""&amp;$A170,0)),""-""))"),"  ")</f>
        <v/>
      </c>
      <c r="F170" s="441"/>
      <c r="G170" s="441"/>
      <c r="H170" s="441"/>
      <c r="I170" s="441"/>
      <c r="J170" s="441"/>
      <c r="K170" s="441"/>
      <c r="L170" s="441"/>
      <c r="M170" s="441"/>
      <c r="N170" s="441"/>
      <c r="O170" s="441"/>
      <c r="P170" s="441"/>
      <c r="Q170" s="441"/>
      <c r="R170" s="441"/>
      <c r="S170" s="441"/>
      <c r="T170" s="441"/>
      <c r="U170" s="441"/>
      <c r="V170" s="441"/>
      <c r="W170" s="441"/>
      <c r="X170" s="441"/>
      <c r="Y170" s="441"/>
      <c r="Z170" s="441"/>
      <c r="AA170" s="441"/>
      <c r="AB170" s="21"/>
      <c r="AC170" s="21"/>
      <c r="AD170" s="21"/>
      <c r="AE170" s="370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</row>
    <row r="171">
      <c r="A171" s="440"/>
      <c r="B171" s="434"/>
      <c r="C171" s="435" t="str">
        <f>IFERROR(__xludf.DUMMYFUNCTION("IF(ISBLANK($B171),"""",query('Saída'!$K$3:$R$505,""Select R where N = '""&amp;$B171&amp;""' and K = ""&amp;$A171,0))"),"")</f>
        <v/>
      </c>
      <c r="D171" s="21"/>
      <c r="E171" s="441"/>
      <c r="F171" s="441"/>
      <c r="G171" s="441"/>
      <c r="H171" s="441"/>
      <c r="I171" s="441"/>
      <c r="J171" s="441"/>
      <c r="K171" s="441"/>
      <c r="L171" s="441"/>
      <c r="M171" s="441"/>
      <c r="N171" s="441"/>
      <c r="O171" s="441"/>
      <c r="P171" s="441"/>
      <c r="Q171" s="441"/>
      <c r="R171" s="441"/>
      <c r="S171" s="441"/>
      <c r="T171" s="441"/>
      <c r="U171" s="441"/>
      <c r="V171" s="441"/>
      <c r="W171" s="441"/>
      <c r="X171" s="441"/>
      <c r="Y171" s="441"/>
      <c r="Z171" s="441"/>
      <c r="AA171" s="441"/>
      <c r="AB171" s="21"/>
      <c r="AC171" s="21"/>
      <c r="AD171" s="21"/>
      <c r="AE171" s="370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</row>
    <row r="172">
      <c r="A172" s="440"/>
      <c r="B172" s="434"/>
      <c r="C172" s="435" t="str">
        <f>IFERROR(__xludf.DUMMYFUNCTION("IF(ISBLANK($B172),"""",query('Saída'!$K$3:$R$505,""Select R where N = '""&amp;$B172&amp;""' and K = ""&amp;$A172,0))"),"")</f>
        <v/>
      </c>
      <c r="D172" s="21"/>
      <c r="E172" s="441"/>
      <c r="F172" s="441"/>
      <c r="G172" s="441"/>
      <c r="H172" s="441"/>
      <c r="I172" s="441"/>
      <c r="J172" s="441"/>
      <c r="K172" s="441"/>
      <c r="L172" s="441"/>
      <c r="M172" s="441"/>
      <c r="N172" s="441"/>
      <c r="O172" s="441"/>
      <c r="P172" s="441"/>
      <c r="Q172" s="441"/>
      <c r="R172" s="441"/>
      <c r="S172" s="441"/>
      <c r="T172" s="441"/>
      <c r="U172" s="441"/>
      <c r="V172" s="441"/>
      <c r="W172" s="441"/>
      <c r="X172" s="441"/>
      <c r="Y172" s="441"/>
      <c r="Z172" s="441"/>
      <c r="AA172" s="441"/>
      <c r="AB172" s="21"/>
      <c r="AC172" s="21"/>
      <c r="AD172" s="21"/>
      <c r="AE172" s="370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</row>
    <row r="173">
      <c r="A173" s="440"/>
      <c r="B173" s="434"/>
      <c r="C173" s="435" t="str">
        <f>IFERROR(__xludf.DUMMYFUNCTION("IF(ISBLANK($B173),"""",query('Saída'!$K$3:$R$505,""Select R where N = '""&amp;$B173&amp;""' and K = ""&amp;$A173,0))"),"")</f>
        <v/>
      </c>
      <c r="D173" s="21"/>
      <c r="E173" s="441"/>
      <c r="F173" s="441"/>
      <c r="G173" s="441"/>
      <c r="H173" s="441"/>
      <c r="I173" s="441"/>
      <c r="J173" s="441"/>
      <c r="K173" s="441"/>
      <c r="L173" s="441"/>
      <c r="M173" s="441"/>
      <c r="N173" s="441"/>
      <c r="O173" s="441"/>
      <c r="P173" s="441"/>
      <c r="Q173" s="441"/>
      <c r="R173" s="441"/>
      <c r="S173" s="441"/>
      <c r="T173" s="441"/>
      <c r="U173" s="441"/>
      <c r="V173" s="441"/>
      <c r="W173" s="441"/>
      <c r="X173" s="441"/>
      <c r="Y173" s="441"/>
      <c r="Z173" s="441"/>
      <c r="AA173" s="441"/>
      <c r="AB173" s="21"/>
      <c r="AC173" s="21"/>
      <c r="AD173" s="21"/>
      <c r="AE173" s="370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</row>
    <row r="174">
      <c r="A174" s="440"/>
      <c r="B174" s="434"/>
      <c r="C174" s="435" t="str">
        <f>IFERROR(__xludf.DUMMYFUNCTION("IF(ISBLANK($B174),"""",query('Saída'!$K$3:$R$505,""Select R where N = '""&amp;$B174&amp;""' and K = ""&amp;$A174,0))"),"")</f>
        <v/>
      </c>
      <c r="D174" s="21"/>
      <c r="E174" s="441"/>
      <c r="F174" s="441"/>
      <c r="G174" s="441"/>
      <c r="H174" s="441"/>
      <c r="I174" s="441"/>
      <c r="J174" s="441"/>
      <c r="K174" s="441"/>
      <c r="L174" s="441"/>
      <c r="M174" s="441"/>
      <c r="N174" s="441"/>
      <c r="O174" s="441"/>
      <c r="P174" s="441"/>
      <c r="Q174" s="441"/>
      <c r="R174" s="441"/>
      <c r="S174" s="441"/>
      <c r="T174" s="441"/>
      <c r="U174" s="441"/>
      <c r="V174" s="441"/>
      <c r="W174" s="441"/>
      <c r="X174" s="441"/>
      <c r="Y174" s="441"/>
      <c r="Z174" s="441"/>
      <c r="AA174" s="441"/>
      <c r="AB174" s="21"/>
      <c r="AC174" s="21"/>
      <c r="AD174" s="21"/>
      <c r="AE174" s="370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</row>
    <row r="175">
      <c r="A175" s="440"/>
      <c r="B175" s="434"/>
      <c r="C175" s="435" t="str">
        <f>IFERROR(__xludf.DUMMYFUNCTION("IF(ISBLANK($B175),"""",query('Saída'!$K$3:$R$505,""Select R where N = '""&amp;$B175&amp;""' and K = ""&amp;$A175,0))"),"")</f>
        <v/>
      </c>
      <c r="D175" s="21"/>
      <c r="E175" s="441"/>
      <c r="F175" s="441"/>
      <c r="G175" s="441"/>
      <c r="H175" s="441"/>
      <c r="I175" s="441"/>
      <c r="J175" s="441"/>
      <c r="K175" s="441"/>
      <c r="L175" s="441"/>
      <c r="M175" s="441"/>
      <c r="N175" s="441"/>
      <c r="O175" s="441"/>
      <c r="P175" s="441"/>
      <c r="Q175" s="441"/>
      <c r="R175" s="441"/>
      <c r="S175" s="441"/>
      <c r="T175" s="441"/>
      <c r="U175" s="441"/>
      <c r="V175" s="441"/>
      <c r="W175" s="441"/>
      <c r="X175" s="441"/>
      <c r="Y175" s="441"/>
      <c r="Z175" s="441"/>
      <c r="AA175" s="441"/>
      <c r="AB175" s="21"/>
      <c r="AC175" s="21"/>
      <c r="AD175" s="21"/>
      <c r="AE175" s="370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</row>
    <row r="176">
      <c r="A176" s="443"/>
      <c r="B176" s="444"/>
      <c r="C176" s="445" t="s">
        <v>14</v>
      </c>
      <c r="D176" s="446">
        <v>239.78</v>
      </c>
      <c r="E176" s="447" t="str">
        <f>IFERROR(__xludf.DUMMYFUNCTION("if(isblank($B176),"""",split(rept(0&amp;""-"",month(query('Saída'!$J$3:$R$505,""Select L where M = '""&amp;$B176&amp;""' and K = ""&amp;$A176,0))-1)&amp;rept(query('Saída'!$J$3:$R$505,""Select P where M = '""&amp;$B176&amp;""' and K = ""&amp;$A176,0)&amp;""-"",query('Saída'!$J$3:$R$505,""Se"&amp;"lect O where M = '""&amp;$B176&amp;""' and K = ""&amp;$A176,0)),""-""))"),"  ")</f>
        <v/>
      </c>
      <c r="F176" s="448"/>
      <c r="G176" s="448"/>
      <c r="H176" s="448"/>
      <c r="I176" s="448"/>
      <c r="J176" s="448"/>
      <c r="K176" s="448"/>
      <c r="L176" s="448"/>
      <c r="M176" s="448"/>
      <c r="N176" s="448"/>
      <c r="O176" s="448"/>
      <c r="P176" s="448"/>
      <c r="Q176" s="448"/>
      <c r="R176" s="448"/>
      <c r="S176" s="448"/>
      <c r="T176" s="448"/>
      <c r="U176" s="448"/>
      <c r="V176" s="448"/>
      <c r="W176" s="448"/>
      <c r="X176" s="448"/>
      <c r="Y176" s="448"/>
      <c r="Z176" s="448"/>
      <c r="AA176" s="449"/>
      <c r="AB176" s="21"/>
      <c r="AC176" s="21"/>
      <c r="AD176" s="21"/>
      <c r="AE176" s="370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</row>
    <row r="177">
      <c r="A177" s="450"/>
      <c r="B177" s="450" t="s">
        <v>341</v>
      </c>
      <c r="D177" s="451"/>
      <c r="E177" s="451"/>
      <c r="F177" s="451"/>
      <c r="G177" s="451"/>
      <c r="H177" s="451"/>
      <c r="I177" s="451"/>
      <c r="J177" s="451"/>
      <c r="K177" s="451"/>
      <c r="L177" s="451"/>
      <c r="M177" s="451"/>
      <c r="N177" s="451"/>
      <c r="O177" s="451"/>
      <c r="P177" s="451"/>
      <c r="Q177" s="451"/>
      <c r="R177" s="451"/>
      <c r="S177" s="451"/>
      <c r="T177" s="451"/>
      <c r="U177" s="451"/>
      <c r="V177" s="451"/>
      <c r="W177" s="451"/>
      <c r="X177" s="451"/>
      <c r="Y177" s="451"/>
      <c r="Z177" s="451"/>
      <c r="AA177" s="451"/>
      <c r="AB177" s="21"/>
      <c r="AC177" s="21"/>
      <c r="AD177" s="21"/>
      <c r="AE177" s="370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</row>
    <row r="178">
      <c r="A178" s="450"/>
      <c r="D178" s="452">
        <f>Inicio!$B$2</f>
        <v>2021</v>
      </c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372"/>
      <c r="P178" s="452">
        <f>D178+1</f>
        <v>2022</v>
      </c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372"/>
      <c r="AB178" s="21"/>
      <c r="AC178" s="21"/>
      <c r="AD178" s="21"/>
      <c r="AE178" s="370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</row>
    <row r="179">
      <c r="A179" s="453"/>
      <c r="B179" s="453"/>
      <c r="C179" s="453"/>
      <c r="D179" s="454" t="s">
        <v>57</v>
      </c>
      <c r="E179" s="454" t="s">
        <v>58</v>
      </c>
      <c r="F179" s="454" t="s">
        <v>59</v>
      </c>
      <c r="G179" s="454" t="s">
        <v>60</v>
      </c>
      <c r="H179" s="454" t="s">
        <v>61</v>
      </c>
      <c r="I179" s="454" t="s">
        <v>62</v>
      </c>
      <c r="J179" s="454" t="s">
        <v>63</v>
      </c>
      <c r="K179" s="454" t="s">
        <v>64</v>
      </c>
      <c r="L179" s="454" t="s">
        <v>65</v>
      </c>
      <c r="M179" s="454" t="s">
        <v>66</v>
      </c>
      <c r="N179" s="454" t="s">
        <v>67</v>
      </c>
      <c r="O179" s="454" t="s">
        <v>68</v>
      </c>
      <c r="P179" s="454" t="s">
        <v>57</v>
      </c>
      <c r="Q179" s="454" t="s">
        <v>58</v>
      </c>
      <c r="R179" s="454" t="s">
        <v>59</v>
      </c>
      <c r="S179" s="454" t="s">
        <v>60</v>
      </c>
      <c r="T179" s="454" t="s">
        <v>61</v>
      </c>
      <c r="U179" s="454" t="s">
        <v>62</v>
      </c>
      <c r="V179" s="454" t="s">
        <v>63</v>
      </c>
      <c r="W179" s="454" t="s">
        <v>64</v>
      </c>
      <c r="X179" s="454" t="s">
        <v>65</v>
      </c>
      <c r="Y179" s="454" t="s">
        <v>66</v>
      </c>
      <c r="Z179" s="454" t="s">
        <v>67</v>
      </c>
      <c r="AA179" s="455" t="s">
        <v>68</v>
      </c>
      <c r="AB179" s="21"/>
      <c r="AC179" s="21"/>
      <c r="AD179" s="21"/>
      <c r="AE179" s="370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</row>
    <row r="180">
      <c r="A180" s="456"/>
      <c r="B180" s="457" t="s">
        <v>69</v>
      </c>
      <c r="C180" s="458" t="s">
        <v>337</v>
      </c>
      <c r="D180" s="459">
        <f>SUM(D181:D200)</f>
        <v>239.78</v>
      </c>
      <c r="E180" s="459">
        <f t="shared" ref="E180:AA180" si="11">SUM(E127:E176)</f>
        <v>0</v>
      </c>
      <c r="F180" s="459">
        <f t="shared" si="11"/>
        <v>0</v>
      </c>
      <c r="G180" s="459">
        <f t="shared" si="11"/>
        <v>0</v>
      </c>
      <c r="H180" s="459">
        <f t="shared" si="11"/>
        <v>0</v>
      </c>
      <c r="I180" s="459">
        <f t="shared" si="11"/>
        <v>0</v>
      </c>
      <c r="J180" s="459">
        <f t="shared" si="11"/>
        <v>0</v>
      </c>
      <c r="K180" s="459">
        <f t="shared" si="11"/>
        <v>0</v>
      </c>
      <c r="L180" s="459">
        <f t="shared" si="11"/>
        <v>0</v>
      </c>
      <c r="M180" s="459">
        <f t="shared" si="11"/>
        <v>0</v>
      </c>
      <c r="N180" s="459">
        <f t="shared" si="11"/>
        <v>0</v>
      </c>
      <c r="O180" s="459">
        <f t="shared" si="11"/>
        <v>0</v>
      </c>
      <c r="P180" s="459">
        <f t="shared" si="11"/>
        <v>0</v>
      </c>
      <c r="Q180" s="459">
        <f t="shared" si="11"/>
        <v>0</v>
      </c>
      <c r="R180" s="459">
        <f t="shared" si="11"/>
        <v>0</v>
      </c>
      <c r="S180" s="459">
        <f t="shared" si="11"/>
        <v>0</v>
      </c>
      <c r="T180" s="459">
        <f t="shared" si="11"/>
        <v>0</v>
      </c>
      <c r="U180" s="459">
        <f t="shared" si="11"/>
        <v>0</v>
      </c>
      <c r="V180" s="459">
        <f t="shared" si="11"/>
        <v>0</v>
      </c>
      <c r="W180" s="459">
        <f t="shared" si="11"/>
        <v>0</v>
      </c>
      <c r="X180" s="459">
        <f t="shared" si="11"/>
        <v>0</v>
      </c>
      <c r="Y180" s="459">
        <f t="shared" si="11"/>
        <v>0</v>
      </c>
      <c r="Z180" s="459">
        <f t="shared" si="11"/>
        <v>0</v>
      </c>
      <c r="AA180" s="460">
        <f t="shared" si="11"/>
        <v>0</v>
      </c>
      <c r="AB180" s="21"/>
      <c r="AC180" s="21"/>
      <c r="AD180" s="21"/>
      <c r="AE180" s="370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</row>
    <row r="181">
      <c r="A181" s="461"/>
      <c r="B181" s="462">
        <f t="shared" ref="B181:B200" si="12">if(isblank($C181),"",sum($D181:$AA181))</f>
        <v>4837.98</v>
      </c>
      <c r="C181" s="463" t="str">
        <f>IFERROR(__xludf.DUMMYFUNCTION("unique(Inicio!H6:H25)"),"NUCC")</f>
        <v>NUCC</v>
      </c>
      <c r="D181" s="464">
        <f>IFERROR(__xludf.DUMMYFUNCTION("iferror(if(isblank($C181),"""",sum(query('Saída'!$A$3:$H$505,""select E where B = 'Fatura' and H ='""&amp;$C181&amp;""' and A = '""&amp;D$179&amp;""'""))),"""")"),239.78)</f>
        <v>239.78</v>
      </c>
      <c r="E181" s="465">
        <f>IFERROR(__xludf.DUMMYFUNCTION("iferror(if(isblank($C181),"""",sum(query('Saída'!$A$3:$H$505,""select E where B = 'Fatura' and H ='""&amp;$C181&amp;""' and A = '""&amp;E$179&amp;""'""))),"""")"),406.13)</f>
        <v>406.13</v>
      </c>
      <c r="F181" s="465">
        <f>IFERROR(__xludf.DUMMYFUNCTION("iferror(if(isblank($C181),"""",sum(query('Saída'!$A$3:$H$505,""select E where B = 'Fatura' and H ='""&amp;$C181&amp;""' and A = '""&amp;F$179&amp;""'""))),"""")"),506.0)</f>
        <v>506</v>
      </c>
      <c r="G181" s="465">
        <f>IFERROR(__xludf.DUMMYFUNCTION("iferror(if(isblank($C181),"""",sum(query('Saída'!$A$3:$H$505,""select E where B = 'Fatura' and H ='""&amp;$C181&amp;""' and A = '""&amp;G$179&amp;""'""))),"""")"),580.95)</f>
        <v>580.95</v>
      </c>
      <c r="H181" s="465">
        <f>IFERROR(__xludf.DUMMYFUNCTION("iferror(if(isblank($C181),"""",sum(query('Saída'!$A$3:$H$505,""select E where B = 'Fatura' and H ='""&amp;$C181&amp;""' and A = '""&amp;H$179&amp;""'""))),"""")"),423.68)</f>
        <v>423.68</v>
      </c>
      <c r="I181" s="465">
        <f>IFERROR(__xludf.DUMMYFUNCTION("iferror(if(isblank($C181),"""",sum(query('Saída'!$A$3:$H$505,""select E where B = 'Fatura' and H ='""&amp;$C181&amp;""' and A = '""&amp;I$179&amp;""'""))),"""")"),414.63)</f>
        <v>414.63</v>
      </c>
      <c r="J181" s="465">
        <f>IFERROR(__xludf.DUMMYFUNCTION("iferror(if(isblank($C181),"""",sum(query('Saída'!$A$3:$H$505,""select E where B = 'Fatura' and H ='""&amp;$C181&amp;""' and A = '""&amp;J$179&amp;""'""))),"""")"),356.68)</f>
        <v>356.68</v>
      </c>
      <c r="K181" s="465">
        <f>IFERROR(__xludf.DUMMYFUNCTION("iferror(if(isblank($C181),"""",sum(query('Saída'!$A$3:$H$505,""select E where B = 'Fatura' and H ='""&amp;$C181&amp;""' and A = '""&amp;K$179&amp;""'""))),"""")"),349.68)</f>
        <v>349.68</v>
      </c>
      <c r="L181" s="465">
        <f>IFERROR(__xludf.DUMMYFUNCTION("iferror(if(isblank($C181),"""",sum(query('Saída'!$A$3:$H$505,""select E where B = 'Fatura' and H ='""&amp;$C181&amp;""' and A = '""&amp;L$179&amp;""'""))),"""")"),600.13)</f>
        <v>600.13</v>
      </c>
      <c r="M181" s="465">
        <f>IFERROR(__xludf.DUMMYFUNCTION("iferror(if(isblank($C181),"""",sum(query('Saída'!$A$3:$H$505,""select E where B = 'Fatura' and H ='""&amp;$C181&amp;""' and A = '""&amp;M$179&amp;""'""))),"""")"),352.08)</f>
        <v>352.08</v>
      </c>
      <c r="N181" s="465">
        <f>IFERROR(__xludf.DUMMYFUNCTION("iferror(if(isblank($C181),"""",sum(query('Saída'!$A$3:$H$505,""select E where B = 'Fatura' and H ='""&amp;$C181&amp;""' and A = '""&amp;N$179&amp;""'""))),"""")"),287.54)</f>
        <v>287.54</v>
      </c>
      <c r="O181" s="465">
        <f>IFERROR(__xludf.DUMMYFUNCTION("iferror(if(isblank($C181),"""",sum(query('Saída'!$A$3:$H$505,""select E where B = 'Fatura' and H ='""&amp;$C181&amp;""' and A = '""&amp;O$179&amp;""'""))),"""")"),320.7)</f>
        <v>320.7</v>
      </c>
      <c r="P181" s="465"/>
      <c r="Q181" s="465"/>
      <c r="R181" s="465"/>
      <c r="S181" s="465"/>
      <c r="T181" s="465"/>
      <c r="U181" s="465"/>
      <c r="V181" s="465"/>
      <c r="W181" s="465"/>
      <c r="X181" s="465"/>
      <c r="Y181" s="465"/>
      <c r="Z181" s="465"/>
      <c r="AA181" s="466"/>
      <c r="AB181" s="21"/>
      <c r="AC181" s="21"/>
      <c r="AD181" s="21"/>
      <c r="AE181" s="370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</row>
    <row r="182">
      <c r="A182" s="461"/>
      <c r="B182" s="462">
        <f t="shared" si="12"/>
        <v>0</v>
      </c>
      <c r="C182" s="467" t="str">
        <f>IFERROR(__xludf.DUMMYFUNCTION("""COMPUTED_VALUE"""),"CAR4")</f>
        <v>CAR4</v>
      </c>
      <c r="D182" s="468" t="str">
        <f>IFERROR(__xludf.DUMMYFUNCTION("iferror(if(isblank($C182),"""",sum(query('Saída'!$A$3:$H$505,""select E where B = 'Fatura' and H ='""&amp;$C182&amp;""' and A = '""&amp;D$179&amp;""'""))),"""")"),"  ")</f>
        <v/>
      </c>
      <c r="E182" s="469" t="str">
        <f>IFERROR(__xludf.DUMMYFUNCTION("iferror(if(isblank($C182),"""",sum(query('Saída'!$A$3:$H$505,""select E where B = 'Fatura' and H ='""&amp;$C182&amp;""' and A = '""&amp;E$179&amp;""'""))),"""")"),"  ")</f>
        <v/>
      </c>
      <c r="F182" s="469" t="str">
        <f>IFERROR(__xludf.DUMMYFUNCTION("iferror(if(isblank($C182),"""",sum(query('Saída'!$A$3:$H$505,""select E where B = 'Fatura' and H ='""&amp;$C182&amp;""' and A = '""&amp;F$179&amp;""'""))),"""")"),"  ")</f>
        <v/>
      </c>
      <c r="G182" s="469" t="str">
        <f>IFERROR(__xludf.DUMMYFUNCTION("iferror(if(isblank($C182),"""",sum(query('Saída'!$A$3:$H$505,""select E where B = 'Fatura' and H ='""&amp;$C182&amp;""' and A = '""&amp;G$179&amp;""'""))),"""")"),"  ")</f>
        <v/>
      </c>
      <c r="H182" s="469" t="str">
        <f>IFERROR(__xludf.DUMMYFUNCTION("iferror(if(isblank($C182),"""",sum(query('Saída'!$A$3:$H$505,""select E where B = 'Fatura' and H ='""&amp;$C182&amp;""' and A = '""&amp;H$179&amp;""'""))),"""")"),"  ")</f>
        <v/>
      </c>
      <c r="I182" s="469" t="str">
        <f>IFERROR(__xludf.DUMMYFUNCTION("iferror(if(isblank($C182),"""",sum(query('Saída'!$A$3:$H$505,""select E where B = 'Fatura' and H ='""&amp;$C182&amp;""' and A = '""&amp;I$179&amp;""'""))),"""")"),"  ")</f>
        <v/>
      </c>
      <c r="J182" s="469" t="str">
        <f>IFERROR(__xludf.DUMMYFUNCTION("iferror(if(isblank($C182),"""",sum(query('Saída'!$A$3:$H$505,""select E where B = 'Fatura' and H ='""&amp;$C182&amp;""' and A = '""&amp;J$179&amp;""'""))),"""")"),"  ")</f>
        <v/>
      </c>
      <c r="K182" s="469" t="str">
        <f>IFERROR(__xludf.DUMMYFUNCTION("iferror(if(isblank($C182),"""",sum(query('Saída'!$A$3:$H$505,""select E where B = 'Fatura' and H ='""&amp;$C182&amp;""' and A = '""&amp;K$179&amp;""'""))),"""")"),"  ")</f>
        <v/>
      </c>
      <c r="L182" s="469" t="str">
        <f>IFERROR(__xludf.DUMMYFUNCTION("iferror(if(isblank($C182),"""",sum(query('Saída'!$A$3:$H$505,""select E where B = 'Fatura' and H ='""&amp;$C182&amp;""' and A = '""&amp;L$179&amp;""'""))),"""")"),"  ")</f>
        <v/>
      </c>
      <c r="M182" s="469" t="str">
        <f>IFERROR(__xludf.DUMMYFUNCTION("iferror(if(isblank($C182),"""",sum(query('Saída'!$A$3:$H$505,""select E where B = 'Fatura' and H ='""&amp;$C182&amp;""' and A = '""&amp;M$179&amp;""'""))),"""")"),"  ")</f>
        <v/>
      </c>
      <c r="N182" s="469" t="str">
        <f>IFERROR(__xludf.DUMMYFUNCTION("iferror(if(isblank($C182),"""",sum(query('Saída'!$A$3:$H$505,""select E where B = 'Fatura' and H ='""&amp;$C182&amp;""' and A = '""&amp;N$179&amp;""'""))),"""")"),"  ")</f>
        <v/>
      </c>
      <c r="O182" s="469" t="str">
        <f>IFERROR(__xludf.DUMMYFUNCTION("iferror(if(isblank($C182),"""",sum(query('Saída'!$A$3:$H$505,""select E where B = 'Fatura' and H ='""&amp;$C182&amp;""' and A = '""&amp;O$179&amp;""'""))),"""")"),"  ")</f>
        <v/>
      </c>
      <c r="P182" s="469"/>
      <c r="Q182" s="469"/>
      <c r="R182" s="469"/>
      <c r="S182" s="469"/>
      <c r="T182" s="469"/>
      <c r="U182" s="469"/>
      <c r="V182" s="469"/>
      <c r="W182" s="469"/>
      <c r="X182" s="469"/>
      <c r="Y182" s="469"/>
      <c r="Z182" s="469"/>
      <c r="AA182" s="470"/>
      <c r="AB182" s="21"/>
      <c r="AC182" s="21"/>
      <c r="AD182" s="21"/>
      <c r="AE182" s="370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</row>
    <row r="183">
      <c r="A183" s="461"/>
      <c r="B183" s="462">
        <f t="shared" si="12"/>
        <v>0</v>
      </c>
      <c r="C183" s="467" t="str">
        <f>IFERROR(__xludf.DUMMYFUNCTION("""COMPUTED_VALUE"""),"CRDC")</f>
        <v>CRDC</v>
      </c>
      <c r="D183" s="468" t="str">
        <f>IFERROR(__xludf.DUMMYFUNCTION("iferror(if(isblank($C183),"""",sum(query('Saída'!$A$3:$H$505,""select E where B = 'Fatura' and H ='""&amp;$C183&amp;""' and A = '""&amp;D$179&amp;""'""))),"""")"),"  ")</f>
        <v/>
      </c>
      <c r="E183" s="469" t="str">
        <f>IFERROR(__xludf.DUMMYFUNCTION("iferror(if(isblank($C183),"""",sum(query('Saída'!$A$3:$H$505,""select E where B = 'Fatura' and H ='""&amp;$C183&amp;""' and A = '""&amp;E$179&amp;""'""))),"""")"),"  ")</f>
        <v/>
      </c>
      <c r="F183" s="469" t="str">
        <f>IFERROR(__xludf.DUMMYFUNCTION("iferror(if(isblank($C183),"""",sum(query('Saída'!$A$3:$H$505,""select E where B = 'Fatura' and H ='""&amp;$C183&amp;""' and A = '""&amp;F$179&amp;""'""))),"""")"),"  ")</f>
        <v/>
      </c>
      <c r="G183" s="469" t="str">
        <f>IFERROR(__xludf.DUMMYFUNCTION("iferror(if(isblank($C183),"""",sum(query('Saída'!$A$3:$H$505,""select E where B = 'Fatura' and H ='""&amp;$C183&amp;""' and A = '""&amp;G$179&amp;""'""))),"""")"),"  ")</f>
        <v/>
      </c>
      <c r="H183" s="469" t="str">
        <f>IFERROR(__xludf.DUMMYFUNCTION("iferror(if(isblank($C183),"""",sum(query('Saída'!$A$3:$H$505,""select E where B = 'Fatura' and H ='""&amp;$C183&amp;""' and A = '""&amp;H$179&amp;""'""))),"""")"),"  ")</f>
        <v/>
      </c>
      <c r="I183" s="469" t="str">
        <f>IFERROR(__xludf.DUMMYFUNCTION("iferror(if(isblank($C183),"""",sum(query('Saída'!$A$3:$H$505,""select E where B = 'Fatura' and H ='""&amp;$C183&amp;""' and A = '""&amp;I$179&amp;""'""))),"""")"),"  ")</f>
        <v/>
      </c>
      <c r="J183" s="469" t="str">
        <f>IFERROR(__xludf.DUMMYFUNCTION("iferror(if(isblank($C183),"""",sum(query('Saída'!$A$3:$H$505,""select E where B = 'Fatura' and H ='""&amp;$C183&amp;""' and A = '""&amp;J$179&amp;""'""))),"""")"),"  ")</f>
        <v/>
      </c>
      <c r="K183" s="469" t="str">
        <f>IFERROR(__xludf.DUMMYFUNCTION("iferror(if(isblank($C183),"""",sum(query('Saída'!$A$3:$H$505,""select E where B = 'Fatura' and H ='""&amp;$C183&amp;""' and A = '""&amp;K$179&amp;""'""))),"""")"),"  ")</f>
        <v/>
      </c>
      <c r="L183" s="469" t="str">
        <f>IFERROR(__xludf.DUMMYFUNCTION("iferror(if(isblank($C183),"""",sum(query('Saída'!$A$3:$H$505,""select E where B = 'Fatura' and H ='""&amp;$C183&amp;""' and A = '""&amp;L$179&amp;""'""))),"""")"),"  ")</f>
        <v/>
      </c>
      <c r="M183" s="469" t="str">
        <f>IFERROR(__xludf.DUMMYFUNCTION("iferror(if(isblank($C183),"""",sum(query('Saída'!$A$3:$H$505,""select E where B = 'Fatura' and H ='""&amp;$C183&amp;""' and A = '""&amp;M$179&amp;""'""))),"""")"),"  ")</f>
        <v/>
      </c>
      <c r="N183" s="469" t="str">
        <f>IFERROR(__xludf.DUMMYFUNCTION("iferror(if(isblank($C183),"""",sum(query('Saída'!$A$3:$H$505,""select E where B = 'Fatura' and H ='""&amp;$C183&amp;""' and A = '""&amp;N$179&amp;""'""))),"""")"),"  ")</f>
        <v/>
      </c>
      <c r="O183" s="469" t="str">
        <f>IFERROR(__xludf.DUMMYFUNCTION("iferror(if(isblank($C183),"""",sum(query('Saída'!$A$3:$H$505,""select E where B = 'Fatura' and H ='""&amp;$C183&amp;""' and A = '""&amp;O$179&amp;""'""))),"""")"),"  ")</f>
        <v/>
      </c>
      <c r="P183" s="469"/>
      <c r="Q183" s="469"/>
      <c r="R183" s="469"/>
      <c r="S183" s="469"/>
      <c r="T183" s="469"/>
      <c r="U183" s="469"/>
      <c r="V183" s="469"/>
      <c r="W183" s="469"/>
      <c r="X183" s="469"/>
      <c r="Y183" s="469"/>
      <c r="Z183" s="469"/>
      <c r="AA183" s="470"/>
      <c r="AB183" s="21"/>
      <c r="AC183" s="21"/>
      <c r="AD183" s="21"/>
      <c r="AE183" s="370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</row>
    <row r="184">
      <c r="A184" s="461"/>
      <c r="B184" s="471" t="str">
        <f t="shared" si="12"/>
        <v/>
      </c>
      <c r="C184" s="467"/>
      <c r="D184" s="468" t="str">
        <f>IFERROR(__xludf.DUMMYFUNCTION("iferror(if(isblank($C184),"""",sum(query('Saída'!$A$3:$H$505,""select E where B = 'Fatura' and H ='""&amp;$C184&amp;""' and A = '""&amp;D$179&amp;""'""))),"""")"),"  ")</f>
        <v/>
      </c>
      <c r="E184" s="469" t="str">
        <f>IFERROR(__xludf.DUMMYFUNCTION("iferror(if(isblank($C184),"""",sum(query('Saída'!$A$3:$H$505,""select E where B = 'Fatura' and H ='""&amp;$C184&amp;""' and A = '""&amp;E$179&amp;""'""))),"""")"),"  ")</f>
        <v/>
      </c>
      <c r="F184" s="469" t="str">
        <f>IFERROR(__xludf.DUMMYFUNCTION("iferror(if(isblank($C184),"""",sum(query('Saída'!$A$3:$H$505,""select E where B = 'Fatura' and H ='""&amp;$C184&amp;""' and A = '""&amp;F$179&amp;""'""))),"""")"),"  ")</f>
        <v/>
      </c>
      <c r="G184" s="469" t="str">
        <f>IFERROR(__xludf.DUMMYFUNCTION("iferror(if(isblank($C184),"""",sum(query('Saída'!$A$3:$H$505,""select E where B = 'Fatura' and H ='""&amp;$C184&amp;""' and A = '""&amp;G$179&amp;""'""))),"""")"),"  ")</f>
        <v/>
      </c>
      <c r="H184" s="469" t="str">
        <f>IFERROR(__xludf.DUMMYFUNCTION("iferror(if(isblank($C184),"""",sum(query('Saída'!$A$3:$H$505,""select E where B = 'Fatura' and H ='""&amp;$C184&amp;""' and A = '""&amp;H$179&amp;""'""))),"""")"),"  ")</f>
        <v/>
      </c>
      <c r="I184" s="469" t="str">
        <f>IFERROR(__xludf.DUMMYFUNCTION("iferror(if(isblank($C184),"""",sum(query('Saída'!$A$3:$H$505,""select E where B = 'Fatura' and H ='""&amp;$C184&amp;""' and A = '""&amp;I$179&amp;""'""))),"""")"),"  ")</f>
        <v/>
      </c>
      <c r="J184" s="469" t="str">
        <f>IFERROR(__xludf.DUMMYFUNCTION("iferror(if(isblank($C184),"""",sum(query('Saída'!$A$3:$H$505,""select E where B = 'Fatura' and H ='""&amp;$C184&amp;""' and A = '""&amp;J$179&amp;""'""))),"""")"),"  ")</f>
        <v/>
      </c>
      <c r="K184" s="469" t="str">
        <f>IFERROR(__xludf.DUMMYFUNCTION("iferror(if(isblank($C184),"""",sum(query('Saída'!$A$3:$H$505,""select E where B = 'Fatura' and H ='""&amp;$C184&amp;""' and A = '""&amp;K$179&amp;""'""))),"""")"),"  ")</f>
        <v/>
      </c>
      <c r="L184" s="469" t="str">
        <f>IFERROR(__xludf.DUMMYFUNCTION("iferror(if(isblank($C184),"""",sum(query('Saída'!$A$3:$H$505,""select E where B = 'Fatura' and H ='""&amp;$C184&amp;""' and A = '""&amp;L$179&amp;""'""))),"""")"),"  ")</f>
        <v/>
      </c>
      <c r="M184" s="469" t="str">
        <f>IFERROR(__xludf.DUMMYFUNCTION("iferror(if(isblank($C184),"""",sum(query('Saída'!$A$3:$H$505,""select E where B = 'Fatura' and H ='""&amp;$C184&amp;""' and A = '""&amp;M$179&amp;""'""))),"""")"),"  ")</f>
        <v/>
      </c>
      <c r="N184" s="469" t="str">
        <f>IFERROR(__xludf.DUMMYFUNCTION("iferror(if(isblank($C184),"""",sum(query('Saída'!$A$3:$H$505,""select E where B = 'Fatura' and H ='""&amp;$C184&amp;""' and A = '""&amp;N$179&amp;""'""))),"""")"),"  ")</f>
        <v/>
      </c>
      <c r="O184" s="469" t="str">
        <f>IFERROR(__xludf.DUMMYFUNCTION("iferror(if(isblank($C184),"""",sum(query('Saída'!$A$3:$H$505,""select E where B = 'Fatura' and H ='""&amp;$C184&amp;""' and A = '""&amp;O$179&amp;""'""))),"""")"),"  ")</f>
        <v/>
      </c>
      <c r="P184" s="469"/>
      <c r="Q184" s="469"/>
      <c r="R184" s="469"/>
      <c r="S184" s="469"/>
      <c r="T184" s="469"/>
      <c r="U184" s="469"/>
      <c r="V184" s="469"/>
      <c r="W184" s="469"/>
      <c r="X184" s="469"/>
      <c r="Y184" s="469"/>
      <c r="Z184" s="469"/>
      <c r="AA184" s="470"/>
      <c r="AB184" s="21"/>
      <c r="AC184" s="21"/>
      <c r="AD184" s="21"/>
      <c r="AE184" s="370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</row>
    <row r="185">
      <c r="A185" s="461"/>
      <c r="B185" s="471" t="str">
        <f t="shared" si="12"/>
        <v/>
      </c>
      <c r="C185" s="467"/>
      <c r="D185" s="468" t="str">
        <f>IFERROR(__xludf.DUMMYFUNCTION("iferror(if(isblank($C185),"""",sum(query('Saída'!$A$3:$H$505,""select E where B = 'Fatura' and H ='""&amp;$C185&amp;""' and A = '""&amp;D$179&amp;""'""))),"""")"),"  ")</f>
        <v/>
      </c>
      <c r="E185" s="469" t="str">
        <f>IFERROR(__xludf.DUMMYFUNCTION("iferror(if(isblank($C185),"""",sum(query('Saída'!$A$3:$H$505,""select E where B = 'Fatura' and H ='""&amp;$C185&amp;""' and A = '""&amp;E$179&amp;""'""))),"""")"),"  ")</f>
        <v/>
      </c>
      <c r="F185" s="469" t="str">
        <f>IFERROR(__xludf.DUMMYFUNCTION("iferror(if(isblank($C185),"""",sum(query('Saída'!$A$3:$H$505,""select E where B = 'Fatura' and H ='""&amp;$C185&amp;""' and A = '""&amp;F$179&amp;""'""))),"""")"),"  ")</f>
        <v/>
      </c>
      <c r="G185" s="469" t="str">
        <f>IFERROR(__xludf.DUMMYFUNCTION("iferror(if(isblank($C185),"""",sum(query('Saída'!$A$3:$H$505,""select E where B = 'Fatura' and H ='""&amp;$C185&amp;""' and A = '""&amp;G$179&amp;""'""))),"""")"),"  ")</f>
        <v/>
      </c>
      <c r="H185" s="469" t="str">
        <f>IFERROR(__xludf.DUMMYFUNCTION("iferror(if(isblank($C185),"""",sum(query('Saída'!$A$3:$H$505,""select E where B = 'Fatura' and H ='""&amp;$C185&amp;""' and A = '""&amp;H$179&amp;""'""))),"""")"),"  ")</f>
        <v/>
      </c>
      <c r="I185" s="469" t="str">
        <f>IFERROR(__xludf.DUMMYFUNCTION("iferror(if(isblank($C185),"""",sum(query('Saída'!$A$3:$H$505,""select E where B = 'Fatura' and H ='""&amp;$C185&amp;""' and A = '""&amp;I$179&amp;""'""))),"""")"),"  ")</f>
        <v/>
      </c>
      <c r="J185" s="469" t="str">
        <f>IFERROR(__xludf.DUMMYFUNCTION("iferror(if(isblank($C185),"""",sum(query('Saída'!$A$3:$H$505,""select E where B = 'Fatura' and H ='""&amp;$C185&amp;""' and A = '""&amp;J$179&amp;""'""))),"""")"),"  ")</f>
        <v/>
      </c>
      <c r="K185" s="469" t="str">
        <f>IFERROR(__xludf.DUMMYFUNCTION("iferror(if(isblank($C185),"""",sum(query('Saída'!$A$3:$H$505,""select E where B = 'Fatura' and H ='""&amp;$C185&amp;""' and A = '""&amp;K$179&amp;""'""))),"""")"),"  ")</f>
        <v/>
      </c>
      <c r="L185" s="469" t="str">
        <f>IFERROR(__xludf.DUMMYFUNCTION("iferror(if(isblank($C185),"""",sum(query('Saída'!$A$3:$H$505,""select E where B = 'Fatura' and H ='""&amp;$C185&amp;""' and A = '""&amp;L$179&amp;""'""))),"""")"),"  ")</f>
        <v/>
      </c>
      <c r="M185" s="469" t="str">
        <f>IFERROR(__xludf.DUMMYFUNCTION("iferror(if(isblank($C185),"""",sum(query('Saída'!$A$3:$H$505,""select E where B = 'Fatura' and H ='""&amp;$C185&amp;""' and A = '""&amp;M$179&amp;""'""))),"""")"),"  ")</f>
        <v/>
      </c>
      <c r="N185" s="469" t="str">
        <f>IFERROR(__xludf.DUMMYFUNCTION("iferror(if(isblank($C185),"""",sum(query('Saída'!$A$3:$H$505,""select E where B = 'Fatura' and H ='""&amp;$C185&amp;""' and A = '""&amp;N$179&amp;""'""))),"""")"),"  ")</f>
        <v/>
      </c>
      <c r="O185" s="469" t="str">
        <f>IFERROR(__xludf.DUMMYFUNCTION("iferror(if(isblank($C185),"""",sum(query('Saída'!$A$3:$H$505,""select E where B = 'Fatura' and H ='""&amp;$C185&amp;""' and A = '""&amp;O$179&amp;""'""))),"""")"),"  ")</f>
        <v/>
      </c>
      <c r="P185" s="469"/>
      <c r="Q185" s="469"/>
      <c r="R185" s="469"/>
      <c r="S185" s="469"/>
      <c r="T185" s="469"/>
      <c r="U185" s="469"/>
      <c r="V185" s="469"/>
      <c r="W185" s="469"/>
      <c r="X185" s="469"/>
      <c r="Y185" s="469"/>
      <c r="Z185" s="469"/>
      <c r="AA185" s="470"/>
      <c r="AB185" s="21"/>
      <c r="AC185" s="21"/>
      <c r="AD185" s="21"/>
      <c r="AE185" s="370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</row>
    <row r="186">
      <c r="A186" s="461"/>
      <c r="B186" s="471" t="str">
        <f t="shared" si="12"/>
        <v/>
      </c>
      <c r="C186" s="467"/>
      <c r="D186" s="468" t="str">
        <f>IFERROR(__xludf.DUMMYFUNCTION("iferror(if(isblank($C186),"""",sum(query('Saída'!$A$3:$H$505,""select E where B = 'Fatura' and H ='""&amp;$C186&amp;""' and A = '""&amp;D$179&amp;""'""))),"""")"),"  ")</f>
        <v/>
      </c>
      <c r="E186" s="469" t="str">
        <f>IFERROR(__xludf.DUMMYFUNCTION("iferror(if(isblank($C186),"""",sum(query('Saída'!$A$3:$H$505,""select E where B = 'Fatura' and H ='""&amp;$C186&amp;""' and A = '""&amp;E$179&amp;""'""))),"""")"),"  ")</f>
        <v/>
      </c>
      <c r="F186" s="469" t="str">
        <f>IFERROR(__xludf.DUMMYFUNCTION("iferror(if(isblank($C186),"""",sum(query('Saída'!$A$3:$H$505,""select E where B = 'Fatura' and H ='""&amp;$C186&amp;""' and A = '""&amp;F$179&amp;""'""))),"""")"),"  ")</f>
        <v/>
      </c>
      <c r="G186" s="469" t="str">
        <f>IFERROR(__xludf.DUMMYFUNCTION("iferror(if(isblank($C186),"""",sum(query('Saída'!$A$3:$H$505,""select E where B = 'Fatura' and H ='""&amp;$C186&amp;""' and A = '""&amp;G$179&amp;""'""))),"""")"),"  ")</f>
        <v/>
      </c>
      <c r="H186" s="469" t="str">
        <f>IFERROR(__xludf.DUMMYFUNCTION("iferror(if(isblank($C186),"""",sum(query('Saída'!$A$3:$H$505,""select E where B = 'Fatura' and H ='""&amp;$C186&amp;""' and A = '""&amp;H$179&amp;""'""))),"""")"),"  ")</f>
        <v/>
      </c>
      <c r="I186" s="469" t="str">
        <f>IFERROR(__xludf.DUMMYFUNCTION("iferror(if(isblank($C186),"""",sum(query('Saída'!$A$3:$H$505,""select E where B = 'Fatura' and H ='""&amp;$C186&amp;""' and A = '""&amp;I$179&amp;""'""))),"""")"),"  ")</f>
        <v/>
      </c>
      <c r="J186" s="469" t="str">
        <f>IFERROR(__xludf.DUMMYFUNCTION("iferror(if(isblank($C186),"""",sum(query('Saída'!$A$3:$H$505,""select E where B = 'Fatura' and H ='""&amp;$C186&amp;""' and A = '""&amp;J$179&amp;""'""))),"""")"),"  ")</f>
        <v/>
      </c>
      <c r="K186" s="469" t="str">
        <f>IFERROR(__xludf.DUMMYFUNCTION("iferror(if(isblank($C186),"""",sum(query('Saída'!$A$3:$H$505,""select E where B = 'Fatura' and H ='""&amp;$C186&amp;""' and A = '""&amp;K$179&amp;""'""))),"""")"),"  ")</f>
        <v/>
      </c>
      <c r="L186" s="469" t="str">
        <f>IFERROR(__xludf.DUMMYFUNCTION("iferror(if(isblank($C186),"""",sum(query('Saída'!$A$3:$H$505,""select E where B = 'Fatura' and H ='""&amp;$C186&amp;""' and A = '""&amp;L$179&amp;""'""))),"""")"),"  ")</f>
        <v/>
      </c>
      <c r="M186" s="469" t="str">
        <f>IFERROR(__xludf.DUMMYFUNCTION("iferror(if(isblank($C186),"""",sum(query('Saída'!$A$3:$H$505,""select E where B = 'Fatura' and H ='""&amp;$C186&amp;""' and A = '""&amp;M$179&amp;""'""))),"""")"),"  ")</f>
        <v/>
      </c>
      <c r="N186" s="469" t="str">
        <f>IFERROR(__xludf.DUMMYFUNCTION("iferror(if(isblank($C186),"""",sum(query('Saída'!$A$3:$H$505,""select E where B = 'Fatura' and H ='""&amp;$C186&amp;""' and A = '""&amp;N$179&amp;""'""))),"""")"),"  ")</f>
        <v/>
      </c>
      <c r="O186" s="469" t="str">
        <f>IFERROR(__xludf.DUMMYFUNCTION("iferror(if(isblank($C186),"""",sum(query('Saída'!$A$3:$H$505,""select E where B = 'Fatura' and H ='""&amp;$C186&amp;""' and A = '""&amp;O$179&amp;""'""))),"""")"),"  ")</f>
        <v/>
      </c>
      <c r="P186" s="469"/>
      <c r="Q186" s="469"/>
      <c r="R186" s="469"/>
      <c r="S186" s="469"/>
      <c r="T186" s="469"/>
      <c r="U186" s="469"/>
      <c r="V186" s="469"/>
      <c r="W186" s="469"/>
      <c r="X186" s="469"/>
      <c r="Y186" s="469"/>
      <c r="Z186" s="469"/>
      <c r="AA186" s="470"/>
      <c r="AB186" s="21"/>
      <c r="AC186" s="21"/>
      <c r="AD186" s="21"/>
      <c r="AE186" s="370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</row>
    <row r="187">
      <c r="A187" s="461"/>
      <c r="B187" s="471" t="str">
        <f t="shared" si="12"/>
        <v/>
      </c>
      <c r="C187" s="467"/>
      <c r="D187" s="468" t="str">
        <f>IFERROR(__xludf.DUMMYFUNCTION("iferror(if(isblank($C187),"""",sum(query('Saída'!$A$3:$H$505,""select E where B = 'Fatura' and H ='""&amp;$C187&amp;""' and A = '""&amp;D$179&amp;""'""))),"""")"),"  ")</f>
        <v/>
      </c>
      <c r="E187" s="469" t="str">
        <f>IFERROR(__xludf.DUMMYFUNCTION("iferror(if(isblank($C187),"""",sum(query('Saída'!$A$3:$H$505,""select E where B = 'Fatura' and H ='""&amp;$C187&amp;""' and A = '""&amp;E$179&amp;""'""))),"""")"),"  ")</f>
        <v/>
      </c>
      <c r="F187" s="469" t="str">
        <f>IFERROR(__xludf.DUMMYFUNCTION("iferror(if(isblank($C187),"""",sum(query('Saída'!$A$3:$H$505,""select E where B = 'Fatura' and H ='""&amp;$C187&amp;""' and A = '""&amp;F$179&amp;""'""))),"""")"),"  ")</f>
        <v/>
      </c>
      <c r="G187" s="469" t="str">
        <f>IFERROR(__xludf.DUMMYFUNCTION("iferror(if(isblank($C187),"""",sum(query('Saída'!$A$3:$H$505,""select E where B = 'Fatura' and H ='""&amp;$C187&amp;""' and A = '""&amp;G$179&amp;""'""))),"""")"),"  ")</f>
        <v/>
      </c>
      <c r="H187" s="469" t="str">
        <f>IFERROR(__xludf.DUMMYFUNCTION("iferror(if(isblank($C187),"""",sum(query('Saída'!$A$3:$H$505,""select E where B = 'Fatura' and H ='""&amp;$C187&amp;""' and A = '""&amp;H$179&amp;""'""))),"""")"),"  ")</f>
        <v/>
      </c>
      <c r="I187" s="469" t="str">
        <f>IFERROR(__xludf.DUMMYFUNCTION("iferror(if(isblank($C187),"""",sum(query('Saída'!$A$3:$H$505,""select E where B = 'Fatura' and H ='""&amp;$C187&amp;""' and A = '""&amp;I$179&amp;""'""))),"""")"),"  ")</f>
        <v/>
      </c>
      <c r="J187" s="469" t="str">
        <f>IFERROR(__xludf.DUMMYFUNCTION("iferror(if(isblank($C187),"""",sum(query('Saída'!$A$3:$H$505,""select E where B = 'Fatura' and H ='""&amp;$C187&amp;""' and A = '""&amp;J$179&amp;""'""))),"""")"),"  ")</f>
        <v/>
      </c>
      <c r="K187" s="469" t="str">
        <f>IFERROR(__xludf.DUMMYFUNCTION("iferror(if(isblank($C187),"""",sum(query('Saída'!$A$3:$H$505,""select E where B = 'Fatura' and H ='""&amp;$C187&amp;""' and A = '""&amp;K$179&amp;""'""))),"""")"),"  ")</f>
        <v/>
      </c>
      <c r="L187" s="469" t="str">
        <f>IFERROR(__xludf.DUMMYFUNCTION("iferror(if(isblank($C187),"""",sum(query('Saída'!$A$3:$H$505,""select E where B = 'Fatura' and H ='""&amp;$C187&amp;""' and A = '""&amp;L$179&amp;""'""))),"""")"),"  ")</f>
        <v/>
      </c>
      <c r="M187" s="469" t="str">
        <f>IFERROR(__xludf.DUMMYFUNCTION("iferror(if(isblank($C187),"""",sum(query('Saída'!$A$3:$H$505,""select E where B = 'Fatura' and H ='""&amp;$C187&amp;""' and A = '""&amp;M$179&amp;""'""))),"""")"),"  ")</f>
        <v/>
      </c>
      <c r="N187" s="469" t="str">
        <f>IFERROR(__xludf.DUMMYFUNCTION("iferror(if(isblank($C187),"""",sum(query('Saída'!$A$3:$H$505,""select E where B = 'Fatura' and H ='""&amp;$C187&amp;""' and A = '""&amp;N$179&amp;""'""))),"""")"),"  ")</f>
        <v/>
      </c>
      <c r="O187" s="469" t="str">
        <f>IFERROR(__xludf.DUMMYFUNCTION("iferror(if(isblank($C187),"""",sum(query('Saída'!$A$3:$H$505,""select E where B = 'Fatura' and H ='""&amp;$C187&amp;""' and A = '""&amp;O$179&amp;""'""))),"""")"),"  ")</f>
        <v/>
      </c>
      <c r="P187" s="469"/>
      <c r="Q187" s="469"/>
      <c r="R187" s="469"/>
      <c r="S187" s="469"/>
      <c r="T187" s="469"/>
      <c r="U187" s="469"/>
      <c r="V187" s="469"/>
      <c r="W187" s="469"/>
      <c r="X187" s="469"/>
      <c r="Y187" s="469"/>
      <c r="Z187" s="469"/>
      <c r="AA187" s="470"/>
      <c r="AB187" s="21"/>
      <c r="AC187" s="21"/>
      <c r="AD187" s="21"/>
      <c r="AE187" s="370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</row>
    <row r="188">
      <c r="A188" s="461"/>
      <c r="B188" s="471" t="str">
        <f t="shared" si="12"/>
        <v/>
      </c>
      <c r="C188" s="467"/>
      <c r="D188" s="468" t="str">
        <f>IFERROR(__xludf.DUMMYFUNCTION("iferror(if(isblank($C188),"""",sum(query('Saída'!$A$3:$H$505,""select E where B = 'Fatura' and H ='""&amp;$C188&amp;""' and A = '""&amp;D$179&amp;""'""))),"""")"),"  ")</f>
        <v/>
      </c>
      <c r="E188" s="469" t="str">
        <f>IFERROR(__xludf.DUMMYFUNCTION("iferror(if(isblank($C188),"""",sum(query('Saída'!$A$3:$H$505,""select E where B = 'Fatura' and H ='""&amp;$C188&amp;""' and A = '""&amp;E$179&amp;""'""))),"""")"),"  ")</f>
        <v/>
      </c>
      <c r="F188" s="469" t="str">
        <f>IFERROR(__xludf.DUMMYFUNCTION("iferror(if(isblank($C188),"""",sum(query('Saída'!$A$3:$H$505,""select E where B = 'Fatura' and H ='""&amp;$C188&amp;""' and A = '""&amp;F$179&amp;""'""))),"""")"),"  ")</f>
        <v/>
      </c>
      <c r="G188" s="469" t="str">
        <f>IFERROR(__xludf.DUMMYFUNCTION("iferror(if(isblank($C188),"""",sum(query('Saída'!$A$3:$H$505,""select E where B = 'Fatura' and H ='""&amp;$C188&amp;""' and A = '""&amp;G$179&amp;""'""))),"""")"),"  ")</f>
        <v/>
      </c>
      <c r="H188" s="469" t="str">
        <f>IFERROR(__xludf.DUMMYFUNCTION("iferror(if(isblank($C188),"""",sum(query('Saída'!$A$3:$H$505,""select E where B = 'Fatura' and H ='""&amp;$C188&amp;""' and A = '""&amp;H$179&amp;""'""))),"""")"),"  ")</f>
        <v/>
      </c>
      <c r="I188" s="469" t="str">
        <f>IFERROR(__xludf.DUMMYFUNCTION("iferror(if(isblank($C188),"""",sum(query('Saída'!$A$3:$H$505,""select E where B = 'Fatura' and H ='""&amp;$C188&amp;""' and A = '""&amp;I$179&amp;""'""))),"""")"),"  ")</f>
        <v/>
      </c>
      <c r="J188" s="469" t="str">
        <f>IFERROR(__xludf.DUMMYFUNCTION("iferror(if(isblank($C188),"""",sum(query('Saída'!$A$3:$H$505,""select E where B = 'Fatura' and H ='""&amp;$C188&amp;""' and A = '""&amp;J$179&amp;""'""))),"""")"),"  ")</f>
        <v/>
      </c>
      <c r="K188" s="469" t="str">
        <f>IFERROR(__xludf.DUMMYFUNCTION("iferror(if(isblank($C188),"""",sum(query('Saída'!$A$3:$H$505,""select E where B = 'Fatura' and H ='""&amp;$C188&amp;""' and A = '""&amp;K$179&amp;""'""))),"""")"),"  ")</f>
        <v/>
      </c>
      <c r="L188" s="469" t="str">
        <f>IFERROR(__xludf.DUMMYFUNCTION("iferror(if(isblank($C188),"""",sum(query('Saída'!$A$3:$H$505,""select E where B = 'Fatura' and H ='""&amp;$C188&amp;""' and A = '""&amp;L$179&amp;""'""))),"""")"),"  ")</f>
        <v/>
      </c>
      <c r="M188" s="469" t="str">
        <f>IFERROR(__xludf.DUMMYFUNCTION("iferror(if(isblank($C188),"""",sum(query('Saída'!$A$3:$H$505,""select E where B = 'Fatura' and H ='""&amp;$C188&amp;""' and A = '""&amp;M$179&amp;""'""))),"""")"),"  ")</f>
        <v/>
      </c>
      <c r="N188" s="469" t="str">
        <f>IFERROR(__xludf.DUMMYFUNCTION("iferror(if(isblank($C188),"""",sum(query('Saída'!$A$3:$H$505,""select E where B = 'Fatura' and H ='""&amp;$C188&amp;""' and A = '""&amp;N$179&amp;""'""))),"""")"),"  ")</f>
        <v/>
      </c>
      <c r="O188" s="469" t="str">
        <f>IFERROR(__xludf.DUMMYFUNCTION("iferror(if(isblank($C188),"""",sum(query('Saída'!$A$3:$H$505,""select E where B = 'Fatura' and H ='""&amp;$C188&amp;""' and A = '""&amp;O$179&amp;""'""))),"""")"),"  ")</f>
        <v/>
      </c>
      <c r="P188" s="469"/>
      <c r="Q188" s="469"/>
      <c r="R188" s="469"/>
      <c r="S188" s="469"/>
      <c r="T188" s="469"/>
      <c r="U188" s="469"/>
      <c r="V188" s="469"/>
      <c r="W188" s="469"/>
      <c r="X188" s="469"/>
      <c r="Y188" s="469"/>
      <c r="Z188" s="469"/>
      <c r="AA188" s="470"/>
      <c r="AB188" s="21"/>
      <c r="AC188" s="21"/>
      <c r="AD188" s="21"/>
      <c r="AE188" s="370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</row>
    <row r="189">
      <c r="A189" s="461"/>
      <c r="B189" s="471" t="str">
        <f t="shared" si="12"/>
        <v/>
      </c>
      <c r="C189" s="467"/>
      <c r="D189" s="468" t="str">
        <f>IFERROR(__xludf.DUMMYFUNCTION("iferror(if(isblank($C189),"""",sum(query('Saída'!$A$3:$H$505,""select E where B = 'Fatura' and H ='""&amp;$C189&amp;""' and A = '""&amp;D$179&amp;""'""))),"""")"),"  ")</f>
        <v/>
      </c>
      <c r="E189" s="469" t="str">
        <f>IFERROR(__xludf.DUMMYFUNCTION("iferror(if(isblank($C189),"""",sum(query('Saída'!$A$3:$H$505,""select E where B = 'Fatura' and H ='""&amp;$C189&amp;""' and A = '""&amp;E$179&amp;""'""))),"""")"),"  ")</f>
        <v/>
      </c>
      <c r="F189" s="469" t="str">
        <f>IFERROR(__xludf.DUMMYFUNCTION("iferror(if(isblank($C189),"""",sum(query('Saída'!$A$3:$H$505,""select E where B = 'Fatura' and H ='""&amp;$C189&amp;""' and A = '""&amp;F$179&amp;""'""))),"""")"),"  ")</f>
        <v/>
      </c>
      <c r="G189" s="469" t="str">
        <f>IFERROR(__xludf.DUMMYFUNCTION("iferror(if(isblank($C189),"""",sum(query('Saída'!$A$3:$H$505,""select E where B = 'Fatura' and H ='""&amp;$C189&amp;""' and A = '""&amp;G$179&amp;""'""))),"""")"),"  ")</f>
        <v/>
      </c>
      <c r="H189" s="469" t="str">
        <f>IFERROR(__xludf.DUMMYFUNCTION("iferror(if(isblank($C189),"""",sum(query('Saída'!$A$3:$H$505,""select E where B = 'Fatura' and H ='""&amp;$C189&amp;""' and A = '""&amp;H$179&amp;""'""))),"""")"),"  ")</f>
        <v/>
      </c>
      <c r="I189" s="469" t="str">
        <f>IFERROR(__xludf.DUMMYFUNCTION("iferror(if(isblank($C189),"""",sum(query('Saída'!$A$3:$H$505,""select E where B = 'Fatura' and H ='""&amp;$C189&amp;""' and A = '""&amp;I$179&amp;""'""))),"""")"),"  ")</f>
        <v/>
      </c>
      <c r="J189" s="469" t="str">
        <f>IFERROR(__xludf.DUMMYFUNCTION("iferror(if(isblank($C189),"""",sum(query('Saída'!$A$3:$H$505,""select E where B = 'Fatura' and H ='""&amp;$C189&amp;""' and A = '""&amp;J$179&amp;""'""))),"""")"),"  ")</f>
        <v/>
      </c>
      <c r="K189" s="469" t="str">
        <f>IFERROR(__xludf.DUMMYFUNCTION("iferror(if(isblank($C189),"""",sum(query('Saída'!$A$3:$H$505,""select E where B = 'Fatura' and H ='""&amp;$C189&amp;""' and A = '""&amp;K$179&amp;""'""))),"""")"),"  ")</f>
        <v/>
      </c>
      <c r="L189" s="469" t="str">
        <f>IFERROR(__xludf.DUMMYFUNCTION("iferror(if(isblank($C189),"""",sum(query('Saída'!$A$3:$H$505,""select E where B = 'Fatura' and H ='""&amp;$C189&amp;""' and A = '""&amp;L$179&amp;""'""))),"""")"),"  ")</f>
        <v/>
      </c>
      <c r="M189" s="469" t="str">
        <f>IFERROR(__xludf.DUMMYFUNCTION("iferror(if(isblank($C189),"""",sum(query('Saída'!$A$3:$H$505,""select E where B = 'Fatura' and H ='""&amp;$C189&amp;""' and A = '""&amp;M$179&amp;""'""))),"""")"),"  ")</f>
        <v/>
      </c>
      <c r="N189" s="469" t="str">
        <f>IFERROR(__xludf.DUMMYFUNCTION("iferror(if(isblank($C189),"""",sum(query('Saída'!$A$3:$H$505,""select E where B = 'Fatura' and H ='""&amp;$C189&amp;""' and A = '""&amp;N$179&amp;""'""))),"""")"),"  ")</f>
        <v/>
      </c>
      <c r="O189" s="469" t="str">
        <f>IFERROR(__xludf.DUMMYFUNCTION("iferror(if(isblank($C189),"""",sum(query('Saída'!$A$3:$H$505,""select E where B = 'Fatura' and H ='""&amp;$C189&amp;""' and A = '""&amp;O$179&amp;""'""))),"""")"),"  ")</f>
        <v/>
      </c>
      <c r="P189" s="469"/>
      <c r="Q189" s="469"/>
      <c r="R189" s="469"/>
      <c r="S189" s="469"/>
      <c r="T189" s="469"/>
      <c r="U189" s="469"/>
      <c r="V189" s="469"/>
      <c r="W189" s="469"/>
      <c r="X189" s="469"/>
      <c r="Y189" s="469"/>
      <c r="Z189" s="469"/>
      <c r="AA189" s="470"/>
      <c r="AB189" s="21"/>
      <c r="AC189" s="21"/>
      <c r="AD189" s="21"/>
      <c r="AE189" s="370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</row>
    <row r="190">
      <c r="A190" s="461"/>
      <c r="B190" s="471" t="str">
        <f t="shared" si="12"/>
        <v/>
      </c>
      <c r="C190" s="467"/>
      <c r="D190" s="468" t="str">
        <f>IFERROR(__xludf.DUMMYFUNCTION("iferror(if(isblank($C190),"""",sum(query('Saída'!$A$3:$H$505,""select E where B = 'Fatura' and H ='""&amp;$C190&amp;""' and A = '""&amp;D$179&amp;""'""))),"""")"),"  ")</f>
        <v/>
      </c>
      <c r="E190" s="469" t="str">
        <f>IFERROR(__xludf.DUMMYFUNCTION("iferror(if(isblank($C190),"""",sum(query('Saída'!$A$3:$H$505,""select E where B = 'Fatura' and H ='""&amp;$C190&amp;""' and A = '""&amp;E$179&amp;""'""))),"""")"),"  ")</f>
        <v/>
      </c>
      <c r="F190" s="469" t="str">
        <f>IFERROR(__xludf.DUMMYFUNCTION("iferror(if(isblank($C190),"""",sum(query('Saída'!$A$3:$H$505,""select E where B = 'Fatura' and H ='""&amp;$C190&amp;""' and A = '""&amp;F$179&amp;""'""))),"""")"),"  ")</f>
        <v/>
      </c>
      <c r="G190" s="469" t="str">
        <f>IFERROR(__xludf.DUMMYFUNCTION("iferror(if(isblank($C190),"""",sum(query('Saída'!$A$3:$H$505,""select E where B = 'Fatura' and H ='""&amp;$C190&amp;""' and A = '""&amp;G$179&amp;""'""))),"""")"),"  ")</f>
        <v/>
      </c>
      <c r="H190" s="469" t="str">
        <f>IFERROR(__xludf.DUMMYFUNCTION("iferror(if(isblank($C190),"""",sum(query('Saída'!$A$3:$H$505,""select E where B = 'Fatura' and H ='""&amp;$C190&amp;""' and A = '""&amp;H$179&amp;""'""))),"""")"),"  ")</f>
        <v/>
      </c>
      <c r="I190" s="469" t="str">
        <f>IFERROR(__xludf.DUMMYFUNCTION("iferror(if(isblank($C190),"""",sum(query('Saída'!$A$3:$H$505,""select E where B = 'Fatura' and H ='""&amp;$C190&amp;""' and A = '""&amp;I$179&amp;""'""))),"""")"),"  ")</f>
        <v/>
      </c>
      <c r="J190" s="469" t="str">
        <f>IFERROR(__xludf.DUMMYFUNCTION("iferror(if(isblank($C190),"""",sum(query('Saída'!$A$3:$H$505,""select E where B = 'Fatura' and H ='""&amp;$C190&amp;""' and A = '""&amp;J$179&amp;""'""))),"""")"),"  ")</f>
        <v/>
      </c>
      <c r="K190" s="469" t="str">
        <f>IFERROR(__xludf.DUMMYFUNCTION("iferror(if(isblank($C190),"""",sum(query('Saída'!$A$3:$H$505,""select E where B = 'Fatura' and H ='""&amp;$C190&amp;""' and A = '""&amp;K$179&amp;""'""))),"""")"),"  ")</f>
        <v/>
      </c>
      <c r="L190" s="469" t="str">
        <f>IFERROR(__xludf.DUMMYFUNCTION("iferror(if(isblank($C190),"""",sum(query('Saída'!$A$3:$H$505,""select E where B = 'Fatura' and H ='""&amp;$C190&amp;""' and A = '""&amp;L$179&amp;""'""))),"""")"),"  ")</f>
        <v/>
      </c>
      <c r="M190" s="469" t="str">
        <f>IFERROR(__xludf.DUMMYFUNCTION("iferror(if(isblank($C190),"""",sum(query('Saída'!$A$3:$H$505,""select E where B = 'Fatura' and H ='""&amp;$C190&amp;""' and A = '""&amp;M$179&amp;""'""))),"""")"),"  ")</f>
        <v/>
      </c>
      <c r="N190" s="469" t="str">
        <f>IFERROR(__xludf.DUMMYFUNCTION("iferror(if(isblank($C190),"""",sum(query('Saída'!$A$3:$H$505,""select E where B = 'Fatura' and H ='""&amp;$C190&amp;""' and A = '""&amp;N$179&amp;""'""))),"""")"),"  ")</f>
        <v/>
      </c>
      <c r="O190" s="469" t="str">
        <f>IFERROR(__xludf.DUMMYFUNCTION("iferror(if(isblank($C190),"""",sum(query('Saída'!$A$3:$H$505,""select E where B = 'Fatura' and H ='""&amp;$C190&amp;""' and A = '""&amp;O$179&amp;""'""))),"""")"),"  ")</f>
        <v/>
      </c>
      <c r="P190" s="469"/>
      <c r="Q190" s="469"/>
      <c r="R190" s="469"/>
      <c r="S190" s="469"/>
      <c r="T190" s="469"/>
      <c r="U190" s="469"/>
      <c r="V190" s="469"/>
      <c r="W190" s="469"/>
      <c r="X190" s="469"/>
      <c r="Y190" s="469"/>
      <c r="Z190" s="469"/>
      <c r="AA190" s="470"/>
      <c r="AB190" s="21"/>
      <c r="AC190" s="21"/>
      <c r="AD190" s="21"/>
      <c r="AE190" s="370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</row>
    <row r="191">
      <c r="A191" s="461"/>
      <c r="B191" s="471" t="str">
        <f t="shared" si="12"/>
        <v/>
      </c>
      <c r="C191" s="467"/>
      <c r="D191" s="468" t="str">
        <f>IFERROR(__xludf.DUMMYFUNCTION("iferror(if(isblank($C191),"""",sum(query('Saída'!$A$3:$H$505,""select E where B = 'Fatura' and H ='""&amp;$C191&amp;""' and A = '""&amp;D$179&amp;""'""))),"""")"),"  ")</f>
        <v/>
      </c>
      <c r="E191" s="469" t="str">
        <f>IFERROR(__xludf.DUMMYFUNCTION("iferror(if(isblank($C191),"""",sum(query('Saída'!$A$3:$H$505,""select E where B = 'Fatura' and H ='""&amp;$C191&amp;""' and A = '""&amp;E$179&amp;""'""))),"""")"),"  ")</f>
        <v/>
      </c>
      <c r="F191" s="469" t="str">
        <f>IFERROR(__xludf.DUMMYFUNCTION("iferror(if(isblank($C191),"""",sum(query('Saída'!$A$3:$H$505,""select E where B = 'Fatura' and H ='""&amp;$C191&amp;""' and A = '""&amp;F$179&amp;""'""))),"""")"),"  ")</f>
        <v/>
      </c>
      <c r="G191" s="469" t="str">
        <f>IFERROR(__xludf.DUMMYFUNCTION("iferror(if(isblank($C191),"""",sum(query('Saída'!$A$3:$H$505,""select E where B = 'Fatura' and H ='""&amp;$C191&amp;""' and A = '""&amp;G$179&amp;""'""))),"""")"),"  ")</f>
        <v/>
      </c>
      <c r="H191" s="469" t="str">
        <f>IFERROR(__xludf.DUMMYFUNCTION("iferror(if(isblank($C191),"""",sum(query('Saída'!$A$3:$H$505,""select E where B = 'Fatura' and H ='""&amp;$C191&amp;""' and A = '""&amp;H$179&amp;""'""))),"""")"),"  ")</f>
        <v/>
      </c>
      <c r="I191" s="469" t="str">
        <f>IFERROR(__xludf.DUMMYFUNCTION("iferror(if(isblank($C191),"""",sum(query('Saída'!$A$3:$H$505,""select E where B = 'Fatura' and H ='""&amp;$C191&amp;""' and A = '""&amp;I$179&amp;""'""))),"""")"),"  ")</f>
        <v/>
      </c>
      <c r="J191" s="469" t="str">
        <f>IFERROR(__xludf.DUMMYFUNCTION("iferror(if(isblank($C191),"""",sum(query('Saída'!$A$3:$H$505,""select E where B = 'Fatura' and H ='""&amp;$C191&amp;""' and A = '""&amp;J$179&amp;""'""))),"""")"),"  ")</f>
        <v/>
      </c>
      <c r="K191" s="469" t="str">
        <f>IFERROR(__xludf.DUMMYFUNCTION("iferror(if(isblank($C191),"""",sum(query('Saída'!$A$3:$H$505,""select E where B = 'Fatura' and H ='""&amp;$C191&amp;""' and A = '""&amp;K$179&amp;""'""))),"""")"),"  ")</f>
        <v/>
      </c>
      <c r="L191" s="469" t="str">
        <f>IFERROR(__xludf.DUMMYFUNCTION("iferror(if(isblank($C191),"""",sum(query('Saída'!$A$3:$H$505,""select E where B = 'Fatura' and H ='""&amp;$C191&amp;""' and A = '""&amp;L$179&amp;""'""))),"""")"),"  ")</f>
        <v/>
      </c>
      <c r="M191" s="469" t="str">
        <f>IFERROR(__xludf.DUMMYFUNCTION("iferror(if(isblank($C191),"""",sum(query('Saída'!$A$3:$H$505,""select E where B = 'Fatura' and H ='""&amp;$C191&amp;""' and A = '""&amp;M$179&amp;""'""))),"""")"),"  ")</f>
        <v/>
      </c>
      <c r="N191" s="469" t="str">
        <f>IFERROR(__xludf.DUMMYFUNCTION("iferror(if(isblank($C191),"""",sum(query('Saída'!$A$3:$H$505,""select E where B = 'Fatura' and H ='""&amp;$C191&amp;""' and A = '""&amp;N$179&amp;""'""))),"""")"),"  ")</f>
        <v/>
      </c>
      <c r="O191" s="469" t="str">
        <f>IFERROR(__xludf.DUMMYFUNCTION("iferror(if(isblank($C191),"""",sum(query('Saída'!$A$3:$H$505,""select E where B = 'Fatura' and H ='""&amp;$C191&amp;""' and A = '""&amp;O$179&amp;""'""))),"""")"),"  ")</f>
        <v/>
      </c>
      <c r="P191" s="469"/>
      <c r="Q191" s="469"/>
      <c r="R191" s="469"/>
      <c r="S191" s="469"/>
      <c r="T191" s="469"/>
      <c r="U191" s="469"/>
      <c r="V191" s="469"/>
      <c r="W191" s="469"/>
      <c r="X191" s="469"/>
      <c r="Y191" s="469"/>
      <c r="Z191" s="469"/>
      <c r="AA191" s="470"/>
      <c r="AB191" s="21"/>
      <c r="AC191" s="21"/>
      <c r="AD191" s="21"/>
      <c r="AE191" s="370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</row>
    <row r="192">
      <c r="A192" s="461"/>
      <c r="B192" s="471" t="str">
        <f t="shared" si="12"/>
        <v/>
      </c>
      <c r="C192" s="467"/>
      <c r="D192" s="468" t="str">
        <f>IFERROR(__xludf.DUMMYFUNCTION("iferror(if(isblank($C192),"""",sum(query('Saída'!$A$3:$H$505,""select E where B = 'Fatura' and H ='""&amp;$C192&amp;""' and A = '""&amp;D$179&amp;""'""))),"""")"),"  ")</f>
        <v/>
      </c>
      <c r="E192" s="469" t="str">
        <f>IFERROR(__xludf.DUMMYFUNCTION("iferror(if(isblank($C192),"""",sum(query('Saída'!$A$3:$H$505,""select E where B = 'Fatura' and H ='""&amp;$C192&amp;""' and A = '""&amp;E$179&amp;""'""))),"""")"),"  ")</f>
        <v/>
      </c>
      <c r="F192" s="469" t="str">
        <f>IFERROR(__xludf.DUMMYFUNCTION("iferror(if(isblank($C192),"""",sum(query('Saída'!$A$3:$H$505,""select E where B = 'Fatura' and H ='""&amp;$C192&amp;""' and A = '""&amp;F$179&amp;""'""))),"""")"),"  ")</f>
        <v/>
      </c>
      <c r="G192" s="469" t="str">
        <f>IFERROR(__xludf.DUMMYFUNCTION("iferror(if(isblank($C192),"""",sum(query('Saída'!$A$3:$H$505,""select E where B = 'Fatura' and H ='""&amp;$C192&amp;""' and A = '""&amp;G$179&amp;""'""))),"""")"),"  ")</f>
        <v/>
      </c>
      <c r="H192" s="469" t="str">
        <f>IFERROR(__xludf.DUMMYFUNCTION("iferror(if(isblank($C192),"""",sum(query('Saída'!$A$3:$H$505,""select E where B = 'Fatura' and H ='""&amp;$C192&amp;""' and A = '""&amp;H$179&amp;""'""))),"""")"),"  ")</f>
        <v/>
      </c>
      <c r="I192" s="469" t="str">
        <f>IFERROR(__xludf.DUMMYFUNCTION("iferror(if(isblank($C192),"""",sum(query('Saída'!$A$3:$H$505,""select E where B = 'Fatura' and H ='""&amp;$C192&amp;""' and A = '""&amp;I$179&amp;""'""))),"""")"),"  ")</f>
        <v/>
      </c>
      <c r="J192" s="469" t="str">
        <f>IFERROR(__xludf.DUMMYFUNCTION("iferror(if(isblank($C192),"""",sum(query('Saída'!$A$3:$H$505,""select E where B = 'Fatura' and H ='""&amp;$C192&amp;""' and A = '""&amp;J$179&amp;""'""))),"""")"),"  ")</f>
        <v/>
      </c>
      <c r="K192" s="469" t="str">
        <f>IFERROR(__xludf.DUMMYFUNCTION("iferror(if(isblank($C192),"""",sum(query('Saída'!$A$3:$H$505,""select E where B = 'Fatura' and H ='""&amp;$C192&amp;""' and A = '""&amp;K$179&amp;""'""))),"""")"),"  ")</f>
        <v/>
      </c>
      <c r="L192" s="469" t="str">
        <f>IFERROR(__xludf.DUMMYFUNCTION("iferror(if(isblank($C192),"""",sum(query('Saída'!$A$3:$H$505,""select E where B = 'Fatura' and H ='""&amp;$C192&amp;""' and A = '""&amp;L$179&amp;""'""))),"""")"),"  ")</f>
        <v/>
      </c>
      <c r="M192" s="469" t="str">
        <f>IFERROR(__xludf.DUMMYFUNCTION("iferror(if(isblank($C192),"""",sum(query('Saída'!$A$3:$H$505,""select E where B = 'Fatura' and H ='""&amp;$C192&amp;""' and A = '""&amp;M$179&amp;""'""))),"""")"),"  ")</f>
        <v/>
      </c>
      <c r="N192" s="469" t="str">
        <f>IFERROR(__xludf.DUMMYFUNCTION("iferror(if(isblank($C192),"""",sum(query('Saída'!$A$3:$H$505,""select E where B = 'Fatura' and H ='""&amp;$C192&amp;""' and A = '""&amp;N$179&amp;""'""))),"""")"),"  ")</f>
        <v/>
      </c>
      <c r="O192" s="469" t="str">
        <f>IFERROR(__xludf.DUMMYFUNCTION("iferror(if(isblank($C192),"""",sum(query('Saída'!$A$3:$H$505,""select E where B = 'Fatura' and H ='""&amp;$C192&amp;""' and A = '""&amp;O$179&amp;""'""))),"""")"),"  ")</f>
        <v/>
      </c>
      <c r="P192" s="469"/>
      <c r="Q192" s="469"/>
      <c r="R192" s="469"/>
      <c r="S192" s="469"/>
      <c r="T192" s="469"/>
      <c r="U192" s="469"/>
      <c r="V192" s="469"/>
      <c r="W192" s="469"/>
      <c r="X192" s="469"/>
      <c r="Y192" s="469"/>
      <c r="Z192" s="469"/>
      <c r="AA192" s="470"/>
      <c r="AB192" s="21"/>
      <c r="AC192" s="21"/>
      <c r="AD192" s="21"/>
      <c r="AE192" s="370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</row>
    <row r="193">
      <c r="A193" s="461"/>
      <c r="B193" s="471" t="str">
        <f t="shared" si="12"/>
        <v/>
      </c>
      <c r="C193" s="467"/>
      <c r="D193" s="468" t="str">
        <f>IFERROR(__xludf.DUMMYFUNCTION("iferror(if(isblank($C193),"""",sum(query('Saída'!$A$3:$H$505,""select E where B = 'Fatura' and H ='""&amp;$C193&amp;""' and A = '""&amp;D$179&amp;""'""))),"""")"),"  ")</f>
        <v/>
      </c>
      <c r="E193" s="469" t="str">
        <f>IFERROR(__xludf.DUMMYFUNCTION("iferror(if(isblank($C193),"""",sum(query('Saída'!$A$3:$H$505,""select E where B = 'Fatura' and H ='""&amp;$C193&amp;""' and A = '""&amp;E$179&amp;""'""))),"""")"),"  ")</f>
        <v/>
      </c>
      <c r="F193" s="469" t="str">
        <f>IFERROR(__xludf.DUMMYFUNCTION("iferror(if(isblank($C193),"""",sum(query('Saída'!$A$3:$H$505,""select E where B = 'Fatura' and H ='""&amp;$C193&amp;""' and A = '""&amp;F$179&amp;""'""))),"""")"),"  ")</f>
        <v/>
      </c>
      <c r="G193" s="469" t="str">
        <f>IFERROR(__xludf.DUMMYFUNCTION("iferror(if(isblank($C193),"""",sum(query('Saída'!$A$3:$H$505,""select E where B = 'Fatura' and H ='""&amp;$C193&amp;""' and A = '""&amp;G$179&amp;""'""))),"""")"),"  ")</f>
        <v/>
      </c>
      <c r="H193" s="469" t="str">
        <f>IFERROR(__xludf.DUMMYFUNCTION("iferror(if(isblank($C193),"""",sum(query('Saída'!$A$3:$H$505,""select E where B = 'Fatura' and H ='""&amp;$C193&amp;""' and A = '""&amp;H$179&amp;""'""))),"""")"),"  ")</f>
        <v/>
      </c>
      <c r="I193" s="469" t="str">
        <f>IFERROR(__xludf.DUMMYFUNCTION("iferror(if(isblank($C193),"""",sum(query('Saída'!$A$3:$H$505,""select E where B = 'Fatura' and H ='""&amp;$C193&amp;""' and A = '""&amp;I$179&amp;""'""))),"""")"),"  ")</f>
        <v/>
      </c>
      <c r="J193" s="469" t="str">
        <f>IFERROR(__xludf.DUMMYFUNCTION("iferror(if(isblank($C193),"""",sum(query('Saída'!$A$3:$H$505,""select E where B = 'Fatura' and H ='""&amp;$C193&amp;""' and A = '""&amp;J$179&amp;""'""))),"""")"),"  ")</f>
        <v/>
      </c>
      <c r="K193" s="469" t="str">
        <f>IFERROR(__xludf.DUMMYFUNCTION("iferror(if(isblank($C193),"""",sum(query('Saída'!$A$3:$H$505,""select E where B = 'Fatura' and H ='""&amp;$C193&amp;""' and A = '""&amp;K$179&amp;""'""))),"""")"),"  ")</f>
        <v/>
      </c>
      <c r="L193" s="469" t="str">
        <f>IFERROR(__xludf.DUMMYFUNCTION("iferror(if(isblank($C193),"""",sum(query('Saída'!$A$3:$H$505,""select E where B = 'Fatura' and H ='""&amp;$C193&amp;""' and A = '""&amp;L$179&amp;""'""))),"""")"),"  ")</f>
        <v/>
      </c>
      <c r="M193" s="469" t="str">
        <f>IFERROR(__xludf.DUMMYFUNCTION("iferror(if(isblank($C193),"""",sum(query('Saída'!$A$3:$H$505,""select E where B = 'Fatura' and H ='""&amp;$C193&amp;""' and A = '""&amp;M$179&amp;""'""))),"""")"),"  ")</f>
        <v/>
      </c>
      <c r="N193" s="469" t="str">
        <f>IFERROR(__xludf.DUMMYFUNCTION("iferror(if(isblank($C193),"""",sum(query('Saída'!$A$3:$H$505,""select E where B = 'Fatura' and H ='""&amp;$C193&amp;""' and A = '""&amp;N$179&amp;""'""))),"""")"),"  ")</f>
        <v/>
      </c>
      <c r="O193" s="469" t="str">
        <f>IFERROR(__xludf.DUMMYFUNCTION("iferror(if(isblank($C193),"""",sum(query('Saída'!$A$3:$H$505,""select E where B = 'Fatura' and H ='""&amp;$C193&amp;""' and A = '""&amp;O$179&amp;""'""))),"""")"),"  ")</f>
        <v/>
      </c>
      <c r="P193" s="469"/>
      <c r="Q193" s="469"/>
      <c r="R193" s="469"/>
      <c r="S193" s="469"/>
      <c r="T193" s="469"/>
      <c r="U193" s="469"/>
      <c r="V193" s="469"/>
      <c r="W193" s="469"/>
      <c r="X193" s="469"/>
      <c r="Y193" s="469"/>
      <c r="Z193" s="469"/>
      <c r="AA193" s="470"/>
      <c r="AB193" s="21"/>
      <c r="AC193" s="21"/>
      <c r="AD193" s="21"/>
      <c r="AE193" s="370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</row>
    <row r="194">
      <c r="A194" s="461"/>
      <c r="B194" s="471" t="str">
        <f t="shared" si="12"/>
        <v/>
      </c>
      <c r="C194" s="467"/>
      <c r="D194" s="468" t="str">
        <f>IFERROR(__xludf.DUMMYFUNCTION("iferror(if(isblank($C194),"""",sum(query('Saída'!$A$3:$H$505,""select E where B = 'Fatura' and H ='""&amp;$C194&amp;""' and A = '""&amp;D$179&amp;""'""))),"""")"),"  ")</f>
        <v/>
      </c>
      <c r="E194" s="469" t="str">
        <f>IFERROR(__xludf.DUMMYFUNCTION("iferror(if(isblank($C194),"""",sum(query('Saída'!$A$3:$H$505,""select E where B = 'Fatura' and H ='""&amp;$C194&amp;""' and A = '""&amp;E$179&amp;""'""))),"""")"),"  ")</f>
        <v/>
      </c>
      <c r="F194" s="469" t="str">
        <f>IFERROR(__xludf.DUMMYFUNCTION("iferror(if(isblank($C194),"""",sum(query('Saída'!$A$3:$H$505,""select E where B = 'Fatura' and H ='""&amp;$C194&amp;""' and A = '""&amp;F$179&amp;""'""))),"""")"),"  ")</f>
        <v/>
      </c>
      <c r="G194" s="469" t="str">
        <f>IFERROR(__xludf.DUMMYFUNCTION("iferror(if(isblank($C194),"""",sum(query('Saída'!$A$3:$H$505,""select E where B = 'Fatura' and H ='""&amp;$C194&amp;""' and A = '""&amp;G$179&amp;""'""))),"""")"),"  ")</f>
        <v/>
      </c>
      <c r="H194" s="469" t="str">
        <f>IFERROR(__xludf.DUMMYFUNCTION("iferror(if(isblank($C194),"""",sum(query('Saída'!$A$3:$H$505,""select E where B = 'Fatura' and H ='""&amp;$C194&amp;""' and A = '""&amp;H$179&amp;""'""))),"""")"),"  ")</f>
        <v/>
      </c>
      <c r="I194" s="469" t="str">
        <f>IFERROR(__xludf.DUMMYFUNCTION("iferror(if(isblank($C194),"""",sum(query('Saída'!$A$3:$H$505,""select E where B = 'Fatura' and H ='""&amp;$C194&amp;""' and A = '""&amp;I$179&amp;""'""))),"""")"),"  ")</f>
        <v/>
      </c>
      <c r="J194" s="469" t="str">
        <f>IFERROR(__xludf.DUMMYFUNCTION("iferror(if(isblank($C194),"""",sum(query('Saída'!$A$3:$H$505,""select E where B = 'Fatura' and H ='""&amp;$C194&amp;""' and A = '""&amp;J$179&amp;""'""))),"""")"),"  ")</f>
        <v/>
      </c>
      <c r="K194" s="469" t="str">
        <f>IFERROR(__xludf.DUMMYFUNCTION("iferror(if(isblank($C194),"""",sum(query('Saída'!$A$3:$H$505,""select E where B = 'Fatura' and H ='""&amp;$C194&amp;""' and A = '""&amp;K$179&amp;""'""))),"""")"),"  ")</f>
        <v/>
      </c>
      <c r="L194" s="469" t="str">
        <f>IFERROR(__xludf.DUMMYFUNCTION("iferror(if(isblank($C194),"""",sum(query('Saída'!$A$3:$H$505,""select E where B = 'Fatura' and H ='""&amp;$C194&amp;""' and A = '""&amp;L$179&amp;""'""))),"""")"),"  ")</f>
        <v/>
      </c>
      <c r="M194" s="469" t="str">
        <f>IFERROR(__xludf.DUMMYFUNCTION("iferror(if(isblank($C194),"""",sum(query('Saída'!$A$3:$H$505,""select E where B = 'Fatura' and H ='""&amp;$C194&amp;""' and A = '""&amp;M$179&amp;""'""))),"""")"),"  ")</f>
        <v/>
      </c>
      <c r="N194" s="469" t="str">
        <f>IFERROR(__xludf.DUMMYFUNCTION("iferror(if(isblank($C194),"""",sum(query('Saída'!$A$3:$H$505,""select E where B = 'Fatura' and H ='""&amp;$C194&amp;""' and A = '""&amp;N$179&amp;""'""))),"""")"),"  ")</f>
        <v/>
      </c>
      <c r="O194" s="469" t="str">
        <f>IFERROR(__xludf.DUMMYFUNCTION("iferror(if(isblank($C194),"""",sum(query('Saída'!$A$3:$H$505,""select E where B = 'Fatura' and H ='""&amp;$C194&amp;""' and A = '""&amp;O$179&amp;""'""))),"""")"),"  ")</f>
        <v/>
      </c>
      <c r="P194" s="469"/>
      <c r="Q194" s="469"/>
      <c r="R194" s="469"/>
      <c r="S194" s="469"/>
      <c r="T194" s="469"/>
      <c r="U194" s="469"/>
      <c r="V194" s="469"/>
      <c r="W194" s="469"/>
      <c r="X194" s="469"/>
      <c r="Y194" s="469"/>
      <c r="Z194" s="469"/>
      <c r="AA194" s="470"/>
      <c r="AB194" s="21"/>
      <c r="AC194" s="21"/>
      <c r="AD194" s="21"/>
      <c r="AE194" s="370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</row>
    <row r="195">
      <c r="A195" s="461"/>
      <c r="B195" s="471" t="str">
        <f t="shared" si="12"/>
        <v/>
      </c>
      <c r="C195" s="467"/>
      <c r="D195" s="468" t="str">
        <f>IFERROR(__xludf.DUMMYFUNCTION("iferror(if(isblank($C195),"""",sum(query('Saída'!$A$3:$H$505,""select E where B = 'Fatura' and H ='""&amp;$C195&amp;""' and A = '""&amp;D$179&amp;""'""))),"""")"),"  ")</f>
        <v/>
      </c>
      <c r="E195" s="469" t="str">
        <f>IFERROR(__xludf.DUMMYFUNCTION("iferror(if(isblank($C195),"""",sum(query('Saída'!$A$3:$H$505,""select E where B = 'Fatura' and H ='""&amp;$C195&amp;""' and A = '""&amp;E$179&amp;""'""))),"""")"),"  ")</f>
        <v/>
      </c>
      <c r="F195" s="469" t="str">
        <f>IFERROR(__xludf.DUMMYFUNCTION("iferror(if(isblank($C195),"""",sum(query('Saída'!$A$3:$H$505,""select E where B = 'Fatura' and H ='""&amp;$C195&amp;""' and A = '""&amp;F$179&amp;""'""))),"""")"),"  ")</f>
        <v/>
      </c>
      <c r="G195" s="469" t="str">
        <f>IFERROR(__xludf.DUMMYFUNCTION("iferror(if(isblank($C195),"""",sum(query('Saída'!$A$3:$H$505,""select E where B = 'Fatura' and H ='""&amp;$C195&amp;""' and A = '""&amp;G$179&amp;""'""))),"""")"),"  ")</f>
        <v/>
      </c>
      <c r="H195" s="469" t="str">
        <f>IFERROR(__xludf.DUMMYFUNCTION("iferror(if(isblank($C195),"""",sum(query('Saída'!$A$3:$H$505,""select E where B = 'Fatura' and H ='""&amp;$C195&amp;""' and A = '""&amp;H$179&amp;""'""))),"""")"),"  ")</f>
        <v/>
      </c>
      <c r="I195" s="469" t="str">
        <f>IFERROR(__xludf.DUMMYFUNCTION("iferror(if(isblank($C195),"""",sum(query('Saída'!$A$3:$H$505,""select E where B = 'Fatura' and H ='""&amp;$C195&amp;""' and A = '""&amp;I$179&amp;""'""))),"""")"),"  ")</f>
        <v/>
      </c>
      <c r="J195" s="469" t="str">
        <f>IFERROR(__xludf.DUMMYFUNCTION("iferror(if(isblank($C195),"""",sum(query('Saída'!$A$3:$H$505,""select E where B = 'Fatura' and H ='""&amp;$C195&amp;""' and A = '""&amp;J$179&amp;""'""))),"""")"),"  ")</f>
        <v/>
      </c>
      <c r="K195" s="469" t="str">
        <f>IFERROR(__xludf.DUMMYFUNCTION("iferror(if(isblank($C195),"""",sum(query('Saída'!$A$3:$H$505,""select E where B = 'Fatura' and H ='""&amp;$C195&amp;""' and A = '""&amp;K$179&amp;""'""))),"""")"),"  ")</f>
        <v/>
      </c>
      <c r="L195" s="469" t="str">
        <f>IFERROR(__xludf.DUMMYFUNCTION("iferror(if(isblank($C195),"""",sum(query('Saída'!$A$3:$H$505,""select E where B = 'Fatura' and H ='""&amp;$C195&amp;""' and A = '""&amp;L$179&amp;""'""))),"""")"),"  ")</f>
        <v/>
      </c>
      <c r="M195" s="469" t="str">
        <f>IFERROR(__xludf.DUMMYFUNCTION("iferror(if(isblank($C195),"""",sum(query('Saída'!$A$3:$H$505,""select E where B = 'Fatura' and H ='""&amp;$C195&amp;""' and A = '""&amp;M$179&amp;""'""))),"""")"),"  ")</f>
        <v/>
      </c>
      <c r="N195" s="469" t="str">
        <f>IFERROR(__xludf.DUMMYFUNCTION("iferror(if(isblank($C195),"""",sum(query('Saída'!$A$3:$H$505,""select E where B = 'Fatura' and H ='""&amp;$C195&amp;""' and A = '""&amp;N$179&amp;""'""))),"""")"),"  ")</f>
        <v/>
      </c>
      <c r="O195" s="469" t="str">
        <f>IFERROR(__xludf.DUMMYFUNCTION("iferror(if(isblank($C195),"""",sum(query('Saída'!$A$3:$H$505,""select E where B = 'Fatura' and H ='""&amp;$C195&amp;""' and A = '""&amp;O$179&amp;""'""))),"""")"),"  ")</f>
        <v/>
      </c>
      <c r="P195" s="469"/>
      <c r="Q195" s="469"/>
      <c r="R195" s="469"/>
      <c r="S195" s="469"/>
      <c r="T195" s="469"/>
      <c r="U195" s="469"/>
      <c r="V195" s="469"/>
      <c r="W195" s="469"/>
      <c r="X195" s="469"/>
      <c r="Y195" s="469"/>
      <c r="Z195" s="469"/>
      <c r="AA195" s="470"/>
      <c r="AB195" s="21"/>
      <c r="AC195" s="21"/>
      <c r="AD195" s="21"/>
      <c r="AE195" s="370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</row>
    <row r="196">
      <c r="A196" s="461"/>
      <c r="B196" s="471" t="str">
        <f t="shared" si="12"/>
        <v/>
      </c>
      <c r="C196" s="467"/>
      <c r="D196" s="468" t="str">
        <f>IFERROR(__xludf.DUMMYFUNCTION("iferror(if(isblank($C196),"""",sum(query('Saída'!$A$3:$H$505,""select E where B = 'Fatura' and H ='""&amp;$C196&amp;""' and A = '""&amp;D$179&amp;""'""))),"""")"),"  ")</f>
        <v/>
      </c>
      <c r="E196" s="469" t="str">
        <f>IFERROR(__xludf.DUMMYFUNCTION("iferror(if(isblank($C196),"""",sum(query('Saída'!$A$3:$H$505,""select E where B = 'Fatura' and H ='""&amp;$C196&amp;""' and A = '""&amp;E$179&amp;""'""))),"""")"),"  ")</f>
        <v/>
      </c>
      <c r="F196" s="469" t="str">
        <f>IFERROR(__xludf.DUMMYFUNCTION("iferror(if(isblank($C196),"""",sum(query('Saída'!$A$3:$H$505,""select E where B = 'Fatura' and H ='""&amp;$C196&amp;""' and A = '""&amp;F$179&amp;""'""))),"""")"),"  ")</f>
        <v/>
      </c>
      <c r="G196" s="469" t="str">
        <f>IFERROR(__xludf.DUMMYFUNCTION("iferror(if(isblank($C196),"""",sum(query('Saída'!$A$3:$H$505,""select E where B = 'Fatura' and H ='""&amp;$C196&amp;""' and A = '""&amp;G$179&amp;""'""))),"""")"),"  ")</f>
        <v/>
      </c>
      <c r="H196" s="469" t="str">
        <f>IFERROR(__xludf.DUMMYFUNCTION("iferror(if(isblank($C196),"""",sum(query('Saída'!$A$3:$H$505,""select E where B = 'Fatura' and H ='""&amp;$C196&amp;""' and A = '""&amp;H$179&amp;""'""))),"""")"),"  ")</f>
        <v/>
      </c>
      <c r="I196" s="469" t="str">
        <f>IFERROR(__xludf.DUMMYFUNCTION("iferror(if(isblank($C196),"""",sum(query('Saída'!$A$3:$H$505,""select E where B = 'Fatura' and H ='""&amp;$C196&amp;""' and A = '""&amp;I$179&amp;""'""))),"""")"),"  ")</f>
        <v/>
      </c>
      <c r="J196" s="469" t="str">
        <f>IFERROR(__xludf.DUMMYFUNCTION("iferror(if(isblank($C196),"""",sum(query('Saída'!$A$3:$H$505,""select E where B = 'Fatura' and H ='""&amp;$C196&amp;""' and A = '""&amp;J$179&amp;""'""))),"""")"),"  ")</f>
        <v/>
      </c>
      <c r="K196" s="469" t="str">
        <f>IFERROR(__xludf.DUMMYFUNCTION("iferror(if(isblank($C196),"""",sum(query('Saída'!$A$3:$H$505,""select E where B = 'Fatura' and H ='""&amp;$C196&amp;""' and A = '""&amp;K$179&amp;""'""))),"""")"),"  ")</f>
        <v/>
      </c>
      <c r="L196" s="469" t="str">
        <f>IFERROR(__xludf.DUMMYFUNCTION("iferror(if(isblank($C196),"""",sum(query('Saída'!$A$3:$H$505,""select E where B = 'Fatura' and H ='""&amp;$C196&amp;""' and A = '""&amp;L$179&amp;""'""))),"""")"),"  ")</f>
        <v/>
      </c>
      <c r="M196" s="469" t="str">
        <f>IFERROR(__xludf.DUMMYFUNCTION("iferror(if(isblank($C196),"""",sum(query('Saída'!$A$3:$H$505,""select E where B = 'Fatura' and H ='""&amp;$C196&amp;""' and A = '""&amp;M$179&amp;""'""))),"""")"),"  ")</f>
        <v/>
      </c>
      <c r="N196" s="469" t="str">
        <f>IFERROR(__xludf.DUMMYFUNCTION("iferror(if(isblank($C196),"""",sum(query('Saída'!$A$3:$H$505,""select E where B = 'Fatura' and H ='""&amp;$C196&amp;""' and A = '""&amp;N$179&amp;""'""))),"""")"),"  ")</f>
        <v/>
      </c>
      <c r="O196" s="469" t="str">
        <f>IFERROR(__xludf.DUMMYFUNCTION("iferror(if(isblank($C196),"""",sum(query('Saída'!$A$3:$H$505,""select E where B = 'Fatura' and H ='""&amp;$C196&amp;""' and A = '""&amp;O$179&amp;""'""))),"""")"),"  ")</f>
        <v/>
      </c>
      <c r="P196" s="469"/>
      <c r="Q196" s="469"/>
      <c r="R196" s="469"/>
      <c r="S196" s="469"/>
      <c r="T196" s="469"/>
      <c r="U196" s="469"/>
      <c r="V196" s="469"/>
      <c r="W196" s="469"/>
      <c r="X196" s="469"/>
      <c r="Y196" s="469"/>
      <c r="Z196" s="469"/>
      <c r="AA196" s="470"/>
      <c r="AB196" s="21"/>
      <c r="AC196" s="21"/>
      <c r="AD196" s="21"/>
      <c r="AE196" s="370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</row>
    <row r="197">
      <c r="A197" s="461"/>
      <c r="B197" s="471" t="str">
        <f t="shared" si="12"/>
        <v/>
      </c>
      <c r="C197" s="467"/>
      <c r="D197" s="468" t="str">
        <f>IFERROR(__xludf.DUMMYFUNCTION("iferror(if(isblank($C197),"""",sum(query('Saída'!$A$3:$H$505,""select E where B = 'Fatura' and H ='""&amp;$C197&amp;""' and A = '""&amp;D$179&amp;""'""))),"""")"),"  ")</f>
        <v/>
      </c>
      <c r="E197" s="469" t="str">
        <f>IFERROR(__xludf.DUMMYFUNCTION("iferror(if(isblank($C197),"""",sum(query('Saída'!$A$3:$H$505,""select E where B = 'Fatura' and H ='""&amp;$C197&amp;""' and A = '""&amp;E$179&amp;""'""))),"""")"),"  ")</f>
        <v/>
      </c>
      <c r="F197" s="469" t="str">
        <f>IFERROR(__xludf.DUMMYFUNCTION("iferror(if(isblank($C197),"""",sum(query('Saída'!$A$3:$H$505,""select E where B = 'Fatura' and H ='""&amp;$C197&amp;""' and A = '""&amp;F$179&amp;""'""))),"""")"),"  ")</f>
        <v/>
      </c>
      <c r="G197" s="469" t="str">
        <f>IFERROR(__xludf.DUMMYFUNCTION("iferror(if(isblank($C197),"""",sum(query('Saída'!$A$3:$H$505,""select E where B = 'Fatura' and H ='""&amp;$C197&amp;""' and A = '""&amp;G$179&amp;""'""))),"""")"),"  ")</f>
        <v/>
      </c>
      <c r="H197" s="469" t="str">
        <f>IFERROR(__xludf.DUMMYFUNCTION("iferror(if(isblank($C197),"""",sum(query('Saída'!$A$3:$H$505,""select E where B = 'Fatura' and H ='""&amp;$C197&amp;""' and A = '""&amp;H$179&amp;""'""))),"""")"),"  ")</f>
        <v/>
      </c>
      <c r="I197" s="469" t="str">
        <f>IFERROR(__xludf.DUMMYFUNCTION("iferror(if(isblank($C197),"""",sum(query('Saída'!$A$3:$H$505,""select E where B = 'Fatura' and H ='""&amp;$C197&amp;""' and A = '""&amp;I$179&amp;""'""))),"""")"),"  ")</f>
        <v/>
      </c>
      <c r="J197" s="469" t="str">
        <f>IFERROR(__xludf.DUMMYFUNCTION("iferror(if(isblank($C197),"""",sum(query('Saída'!$A$3:$H$505,""select E where B = 'Fatura' and H ='""&amp;$C197&amp;""' and A = '""&amp;J$179&amp;""'""))),"""")"),"  ")</f>
        <v/>
      </c>
      <c r="K197" s="469" t="str">
        <f>IFERROR(__xludf.DUMMYFUNCTION("iferror(if(isblank($C197),"""",sum(query('Saída'!$A$3:$H$505,""select E where B = 'Fatura' and H ='""&amp;$C197&amp;""' and A = '""&amp;K$179&amp;""'""))),"""")"),"  ")</f>
        <v/>
      </c>
      <c r="L197" s="469" t="str">
        <f>IFERROR(__xludf.DUMMYFUNCTION("iferror(if(isblank($C197),"""",sum(query('Saída'!$A$3:$H$505,""select E where B = 'Fatura' and H ='""&amp;$C197&amp;""' and A = '""&amp;L$179&amp;""'""))),"""")"),"  ")</f>
        <v/>
      </c>
      <c r="M197" s="469" t="str">
        <f>IFERROR(__xludf.DUMMYFUNCTION("iferror(if(isblank($C197),"""",sum(query('Saída'!$A$3:$H$505,""select E where B = 'Fatura' and H ='""&amp;$C197&amp;""' and A = '""&amp;M$179&amp;""'""))),"""")"),"  ")</f>
        <v/>
      </c>
      <c r="N197" s="469" t="str">
        <f>IFERROR(__xludf.DUMMYFUNCTION("iferror(if(isblank($C197),"""",sum(query('Saída'!$A$3:$H$505,""select E where B = 'Fatura' and H ='""&amp;$C197&amp;""' and A = '""&amp;N$179&amp;""'""))),"""")"),"  ")</f>
        <v/>
      </c>
      <c r="O197" s="469" t="str">
        <f>IFERROR(__xludf.DUMMYFUNCTION("iferror(if(isblank($C197),"""",sum(query('Saída'!$A$3:$H$505,""select E where B = 'Fatura' and H ='""&amp;$C197&amp;""' and A = '""&amp;O$179&amp;""'""))),"""")"),"  ")</f>
        <v/>
      </c>
      <c r="P197" s="469"/>
      <c r="Q197" s="469"/>
      <c r="R197" s="469"/>
      <c r="S197" s="469"/>
      <c r="T197" s="469"/>
      <c r="U197" s="469"/>
      <c r="V197" s="469"/>
      <c r="W197" s="469"/>
      <c r="X197" s="469"/>
      <c r="Y197" s="469"/>
      <c r="Z197" s="469"/>
      <c r="AA197" s="470"/>
      <c r="AB197" s="21"/>
      <c r="AC197" s="21"/>
      <c r="AD197" s="21"/>
      <c r="AE197" s="370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</row>
    <row r="198">
      <c r="A198" s="461"/>
      <c r="B198" s="471" t="str">
        <f t="shared" si="12"/>
        <v/>
      </c>
      <c r="C198" s="467"/>
      <c r="D198" s="468" t="str">
        <f>IFERROR(__xludf.DUMMYFUNCTION("iferror(if(isblank($C198),"""",sum(query('Saída'!$A$3:$H$505,""select E where B = 'Fatura' and H ='""&amp;$C198&amp;""' and A = '""&amp;D$179&amp;""'""))),"""")"),"  ")</f>
        <v/>
      </c>
      <c r="E198" s="469" t="str">
        <f>IFERROR(__xludf.DUMMYFUNCTION("iferror(if(isblank($C198),"""",sum(query('Saída'!$A$3:$H$505,""select E where B = 'Fatura' and H ='""&amp;$C198&amp;""' and A = '""&amp;E$179&amp;""'""))),"""")"),"  ")</f>
        <v/>
      </c>
      <c r="F198" s="469" t="str">
        <f>IFERROR(__xludf.DUMMYFUNCTION("iferror(if(isblank($C198),"""",sum(query('Saída'!$A$3:$H$505,""select E where B = 'Fatura' and H ='""&amp;$C198&amp;""' and A = '""&amp;F$179&amp;""'""))),"""")"),"  ")</f>
        <v/>
      </c>
      <c r="G198" s="469" t="str">
        <f>IFERROR(__xludf.DUMMYFUNCTION("iferror(if(isblank($C198),"""",sum(query('Saída'!$A$3:$H$505,""select E where B = 'Fatura' and H ='""&amp;$C198&amp;""' and A = '""&amp;G$179&amp;""'""))),"""")"),"  ")</f>
        <v/>
      </c>
      <c r="H198" s="469" t="str">
        <f>IFERROR(__xludf.DUMMYFUNCTION("iferror(if(isblank($C198),"""",sum(query('Saída'!$A$3:$H$505,""select E where B = 'Fatura' and H ='""&amp;$C198&amp;""' and A = '""&amp;H$179&amp;""'""))),"""")"),"  ")</f>
        <v/>
      </c>
      <c r="I198" s="469" t="str">
        <f>IFERROR(__xludf.DUMMYFUNCTION("iferror(if(isblank($C198),"""",sum(query('Saída'!$A$3:$H$505,""select E where B = 'Fatura' and H ='""&amp;$C198&amp;""' and A = '""&amp;I$179&amp;""'""))),"""")"),"  ")</f>
        <v/>
      </c>
      <c r="J198" s="469" t="str">
        <f>IFERROR(__xludf.DUMMYFUNCTION("iferror(if(isblank($C198),"""",sum(query('Saída'!$A$3:$H$505,""select E where B = 'Fatura' and H ='""&amp;$C198&amp;""' and A = '""&amp;J$179&amp;""'""))),"""")"),"  ")</f>
        <v/>
      </c>
      <c r="K198" s="469" t="str">
        <f>IFERROR(__xludf.DUMMYFUNCTION("iferror(if(isblank($C198),"""",sum(query('Saída'!$A$3:$H$505,""select E where B = 'Fatura' and H ='""&amp;$C198&amp;""' and A = '""&amp;K$179&amp;""'""))),"""")"),"  ")</f>
        <v/>
      </c>
      <c r="L198" s="469" t="str">
        <f>IFERROR(__xludf.DUMMYFUNCTION("iferror(if(isblank($C198),"""",sum(query('Saída'!$A$3:$H$505,""select E where B = 'Fatura' and H ='""&amp;$C198&amp;""' and A = '""&amp;L$179&amp;""'""))),"""")"),"  ")</f>
        <v/>
      </c>
      <c r="M198" s="469" t="str">
        <f>IFERROR(__xludf.DUMMYFUNCTION("iferror(if(isblank($C198),"""",sum(query('Saída'!$A$3:$H$505,""select E where B = 'Fatura' and H ='""&amp;$C198&amp;""' and A = '""&amp;M$179&amp;""'""))),"""")"),"  ")</f>
        <v/>
      </c>
      <c r="N198" s="469" t="str">
        <f>IFERROR(__xludf.DUMMYFUNCTION("iferror(if(isblank($C198),"""",sum(query('Saída'!$A$3:$H$505,""select E where B = 'Fatura' and H ='""&amp;$C198&amp;""' and A = '""&amp;N$179&amp;""'""))),"""")"),"  ")</f>
        <v/>
      </c>
      <c r="O198" s="469" t="str">
        <f>IFERROR(__xludf.DUMMYFUNCTION("iferror(if(isblank($C198),"""",sum(query('Saída'!$A$3:$H$505,""select E where B = 'Fatura' and H ='""&amp;$C198&amp;""' and A = '""&amp;O$179&amp;""'""))),"""")"),"  ")</f>
        <v/>
      </c>
      <c r="P198" s="469"/>
      <c r="Q198" s="469"/>
      <c r="R198" s="469"/>
      <c r="S198" s="469"/>
      <c r="T198" s="469"/>
      <c r="U198" s="469"/>
      <c r="V198" s="469"/>
      <c r="W198" s="469"/>
      <c r="X198" s="469"/>
      <c r="Y198" s="469"/>
      <c r="Z198" s="469"/>
      <c r="AA198" s="470"/>
      <c r="AB198" s="21"/>
      <c r="AC198" s="21"/>
      <c r="AD198" s="21"/>
      <c r="AE198" s="370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</row>
    <row r="199">
      <c r="A199" s="461"/>
      <c r="B199" s="471" t="str">
        <f t="shared" si="12"/>
        <v/>
      </c>
      <c r="C199" s="467"/>
      <c r="D199" s="468" t="str">
        <f>IFERROR(__xludf.DUMMYFUNCTION("iferror(if(isblank($C199),"""",sum(query('Saída'!$A$3:$H$505,""select E where B = 'Fatura' and H ='""&amp;$C199&amp;""' and A = '""&amp;D$179&amp;""'""))),"""")"),"  ")</f>
        <v/>
      </c>
      <c r="E199" s="469" t="str">
        <f>IFERROR(__xludf.DUMMYFUNCTION("iferror(if(isblank($C199),"""",sum(query('Saída'!$A$3:$H$505,""select E where B = 'Fatura' and H ='""&amp;$C199&amp;""' and A = '""&amp;E$179&amp;""'""))),"""")"),"  ")</f>
        <v/>
      </c>
      <c r="F199" s="469" t="str">
        <f>IFERROR(__xludf.DUMMYFUNCTION("iferror(if(isblank($C199),"""",sum(query('Saída'!$A$3:$H$505,""select E where B = 'Fatura' and H ='""&amp;$C199&amp;""' and A = '""&amp;F$179&amp;""'""))),"""")"),"  ")</f>
        <v/>
      </c>
      <c r="G199" s="469" t="str">
        <f>IFERROR(__xludf.DUMMYFUNCTION("iferror(if(isblank($C199),"""",sum(query('Saída'!$A$3:$H$505,""select E where B = 'Fatura' and H ='""&amp;$C199&amp;""' and A = '""&amp;G$179&amp;""'""))),"""")"),"  ")</f>
        <v/>
      </c>
      <c r="H199" s="469" t="str">
        <f>IFERROR(__xludf.DUMMYFUNCTION("iferror(if(isblank($C199),"""",sum(query('Saída'!$A$3:$H$505,""select E where B = 'Fatura' and H ='""&amp;$C199&amp;""' and A = '""&amp;H$179&amp;""'""))),"""")"),"  ")</f>
        <v/>
      </c>
      <c r="I199" s="469" t="str">
        <f>IFERROR(__xludf.DUMMYFUNCTION("iferror(if(isblank($C199),"""",sum(query('Saída'!$A$3:$H$505,""select E where B = 'Fatura' and H ='""&amp;$C199&amp;""' and A = '""&amp;I$179&amp;""'""))),"""")"),"  ")</f>
        <v/>
      </c>
      <c r="J199" s="469" t="str">
        <f>IFERROR(__xludf.DUMMYFUNCTION("iferror(if(isblank($C199),"""",sum(query('Saída'!$A$3:$H$505,""select E where B = 'Fatura' and H ='""&amp;$C199&amp;""' and A = '""&amp;J$179&amp;""'""))),"""")"),"  ")</f>
        <v/>
      </c>
      <c r="K199" s="469" t="str">
        <f>IFERROR(__xludf.DUMMYFUNCTION("iferror(if(isblank($C199),"""",sum(query('Saída'!$A$3:$H$505,""select E where B = 'Fatura' and H ='""&amp;$C199&amp;""' and A = '""&amp;K$179&amp;""'""))),"""")"),"  ")</f>
        <v/>
      </c>
      <c r="L199" s="469" t="str">
        <f>IFERROR(__xludf.DUMMYFUNCTION("iferror(if(isblank($C199),"""",sum(query('Saída'!$A$3:$H$505,""select E where B = 'Fatura' and H ='""&amp;$C199&amp;""' and A = '""&amp;L$179&amp;""'""))),"""")"),"  ")</f>
        <v/>
      </c>
      <c r="M199" s="469" t="str">
        <f>IFERROR(__xludf.DUMMYFUNCTION("iferror(if(isblank($C199),"""",sum(query('Saída'!$A$3:$H$505,""select E where B = 'Fatura' and H ='""&amp;$C199&amp;""' and A = '""&amp;M$179&amp;""'""))),"""")"),"  ")</f>
        <v/>
      </c>
      <c r="N199" s="469" t="str">
        <f>IFERROR(__xludf.DUMMYFUNCTION("iferror(if(isblank($C199),"""",sum(query('Saída'!$A$3:$H$505,""select E where B = 'Fatura' and H ='""&amp;$C199&amp;""' and A = '""&amp;N$179&amp;""'""))),"""")"),"  ")</f>
        <v/>
      </c>
      <c r="O199" s="469" t="str">
        <f>IFERROR(__xludf.DUMMYFUNCTION("iferror(if(isblank($C199),"""",sum(query('Saída'!$A$3:$H$505,""select E where B = 'Fatura' and H ='""&amp;$C199&amp;""' and A = '""&amp;O$179&amp;""'""))),"""")"),"  ")</f>
        <v/>
      </c>
      <c r="P199" s="469"/>
      <c r="Q199" s="469"/>
      <c r="R199" s="469"/>
      <c r="S199" s="469"/>
      <c r="T199" s="469"/>
      <c r="U199" s="469"/>
      <c r="V199" s="469"/>
      <c r="W199" s="469"/>
      <c r="X199" s="469"/>
      <c r="Y199" s="469"/>
      <c r="Z199" s="469"/>
      <c r="AA199" s="470"/>
      <c r="AB199" s="21"/>
      <c r="AC199" s="21"/>
      <c r="AD199" s="21"/>
      <c r="AE199" s="370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</row>
    <row r="200">
      <c r="A200" s="461"/>
      <c r="B200" s="472" t="str">
        <f t="shared" si="12"/>
        <v/>
      </c>
      <c r="C200" s="473"/>
      <c r="D200" s="474" t="str">
        <f>IFERROR(__xludf.DUMMYFUNCTION("iferror(if(isblank($C200),"""",sum(query('Saída'!$A$3:$H$505,""select E where B = 'Fatura' and H ='""&amp;$C200&amp;""' and A = '""&amp;D$179&amp;""'""))),"""")"),"  ")</f>
        <v/>
      </c>
      <c r="E200" s="448" t="str">
        <f>IFERROR(__xludf.DUMMYFUNCTION("iferror(if(isblank($C200),"""",sum(query('Saída'!$A$3:$H$505,""select E where B = 'Fatura' and H ='""&amp;$C200&amp;""' and A = '""&amp;E$179&amp;""'""))),"""")"),"  ")</f>
        <v/>
      </c>
      <c r="F200" s="448" t="str">
        <f>IFERROR(__xludf.DUMMYFUNCTION("iferror(if(isblank($C200),"""",sum(query('Saída'!$A$3:$H$505,""select E where B = 'Fatura' and H ='""&amp;$C200&amp;""' and A = '""&amp;F$179&amp;""'""))),"""")"),"  ")</f>
        <v/>
      </c>
      <c r="G200" s="448" t="str">
        <f>IFERROR(__xludf.DUMMYFUNCTION("iferror(if(isblank($C200),"""",sum(query('Saída'!$A$3:$H$505,""select E where B = 'Fatura' and H ='""&amp;$C200&amp;""' and A = '""&amp;G$179&amp;""'""))),"""")"),"  ")</f>
        <v/>
      </c>
      <c r="H200" s="448" t="str">
        <f>IFERROR(__xludf.DUMMYFUNCTION("iferror(if(isblank($C200),"""",sum(query('Saída'!$A$3:$H$505,""select E where B = 'Fatura' and H ='""&amp;$C200&amp;""' and A = '""&amp;H$179&amp;""'""))),"""")"),"  ")</f>
        <v/>
      </c>
      <c r="I200" s="448" t="str">
        <f>IFERROR(__xludf.DUMMYFUNCTION("iferror(if(isblank($C200),"""",sum(query('Saída'!$A$3:$H$505,""select E where B = 'Fatura' and H ='""&amp;$C200&amp;""' and A = '""&amp;I$179&amp;""'""))),"""")"),"  ")</f>
        <v/>
      </c>
      <c r="J200" s="448" t="str">
        <f>IFERROR(__xludf.DUMMYFUNCTION("iferror(if(isblank($C200),"""",sum(query('Saída'!$A$3:$H$505,""select E where B = 'Fatura' and H ='""&amp;$C200&amp;""' and A = '""&amp;J$179&amp;""'""))),"""")"),"  ")</f>
        <v/>
      </c>
      <c r="K200" s="448" t="str">
        <f>IFERROR(__xludf.DUMMYFUNCTION("iferror(if(isblank($C200),"""",sum(query('Saída'!$A$3:$H$505,""select E where B = 'Fatura' and H ='""&amp;$C200&amp;""' and A = '""&amp;K$179&amp;""'""))),"""")"),"  ")</f>
        <v/>
      </c>
      <c r="L200" s="448" t="str">
        <f>IFERROR(__xludf.DUMMYFUNCTION("iferror(if(isblank($C200),"""",sum(query('Saída'!$A$3:$H$505,""select E where B = 'Fatura' and H ='""&amp;$C200&amp;""' and A = '""&amp;L$179&amp;""'""))),"""")"),"  ")</f>
        <v/>
      </c>
      <c r="M200" s="448" t="str">
        <f>IFERROR(__xludf.DUMMYFUNCTION("iferror(if(isblank($C200),"""",sum(query('Saída'!$A$3:$H$505,""select E where B = 'Fatura' and H ='""&amp;$C200&amp;""' and A = '""&amp;M$179&amp;""'""))),"""")"),"  ")</f>
        <v/>
      </c>
      <c r="N200" s="448" t="str">
        <f>IFERROR(__xludf.DUMMYFUNCTION("iferror(if(isblank($C200),"""",sum(query('Saída'!$A$3:$H$505,""select E where B = 'Fatura' and H ='""&amp;$C200&amp;""' and A = '""&amp;N$179&amp;""'""))),"""")"),"  ")</f>
        <v/>
      </c>
      <c r="O200" s="448" t="str">
        <f>IFERROR(__xludf.DUMMYFUNCTION("iferror(if(isblank($C200),"""",sum(query('Saída'!$A$3:$H$505,""select E where B = 'Fatura' and H ='""&amp;$C200&amp;""' and A = '""&amp;O$179&amp;""'""))),"""")"),"  ")</f>
        <v/>
      </c>
      <c r="P200" s="448" t="str">
        <f>IFERROR(__xludf.DUMMYFUNCTION("iferror(if(isblank($C200),"""",sum(query('Saída'!$A$3:$H$505,""select E where B = 'Fatura' and H ='""&amp;$C200&amp;""' and A = '""&amp;P$179&amp;""'""))),"""")"),"  ")</f>
        <v/>
      </c>
      <c r="Q200" s="448" t="str">
        <f>IFERROR(__xludf.DUMMYFUNCTION("if(isblank($C200),"""",sum(query('Saída'!$A$3:$H$505,""select E where B = 'Fatura' and H ='""&amp;$C200&amp;""' and A = '""&amp;Q$179&amp;""'"")))"),"  ")</f>
        <v/>
      </c>
      <c r="R200" s="448" t="str">
        <f>IFERROR(__xludf.DUMMYFUNCTION("if(isblank($C200),"""",sum(query('Saída'!$A$3:$H$505,""select E where B = 'Fatura' and H ='""&amp;$C200&amp;""' and A = '""&amp;R$179&amp;""'"")))"),"  ")</f>
        <v/>
      </c>
      <c r="S200" s="448" t="str">
        <f>IFERROR(__xludf.DUMMYFUNCTION("if(isblank($C200),"""",sum(query('Saída'!$A$3:$H$505,""select E where B = 'Fatura' and H ='""&amp;$C200&amp;""' and A = '""&amp;S$179&amp;""'"")))"),"  ")</f>
        <v/>
      </c>
      <c r="T200" s="448" t="str">
        <f>IFERROR(__xludf.DUMMYFUNCTION("if(isblank($C200),"""",sum(query('Saída'!$A$3:$H$505,""select E where B = 'Fatura' and H ='""&amp;$C200&amp;""' and A = '""&amp;T$179&amp;""'"")))"),"  ")</f>
        <v/>
      </c>
      <c r="U200" s="448" t="str">
        <f>IFERROR(__xludf.DUMMYFUNCTION("if(isblank($C200),"""",sum(query('Saída'!$A$3:$H$505,""select E where B = 'Fatura' and H ='""&amp;$C200&amp;""' and A = '""&amp;U$179&amp;""'"")))"),"  ")</f>
        <v/>
      </c>
      <c r="V200" s="448" t="str">
        <f>IFERROR(__xludf.DUMMYFUNCTION("if(isblank($C200),"""",sum(query('Saída'!$A$3:$H$505,""select E where B = 'Fatura' and H ='""&amp;$C200&amp;""' and A = '""&amp;V$179&amp;""'"")))"),"  ")</f>
        <v/>
      </c>
      <c r="W200" s="448" t="str">
        <f>IFERROR(__xludf.DUMMYFUNCTION("if(isblank($C200),"""",sum(query('Saída'!$A$3:$H$505,""select E where B = 'Fatura' and H ='""&amp;$C200&amp;""' and A = '""&amp;W$179&amp;""'"")))"),"  ")</f>
        <v/>
      </c>
      <c r="X200" s="448" t="str">
        <f>IFERROR(__xludf.DUMMYFUNCTION("if(isblank($C200),"""",sum(query('Saída'!$A$3:$H$505,""select E where B = 'Fatura' and H ='""&amp;$C200&amp;""' and A = '""&amp;X$179&amp;""'"")))"),"  ")</f>
        <v/>
      </c>
      <c r="Y200" s="448" t="str">
        <f>IFERROR(__xludf.DUMMYFUNCTION("if(isblank($C200),"""",sum(query('Saída'!$A$3:$H$505,""select E where B = 'Fatura' and H ='""&amp;$C200&amp;""' and A = '""&amp;Y$179&amp;""'"")))"),"  ")</f>
        <v/>
      </c>
      <c r="Z200" s="448" t="str">
        <f>IFERROR(__xludf.DUMMYFUNCTION("if(isblank($C200),"""",sum(query('Saída'!$A$3:$H$505,""select E where B = 'Fatura' and H ='""&amp;$C200&amp;""' and A = '""&amp;Z$179&amp;""'"")))"),"  ")</f>
        <v/>
      </c>
      <c r="AA200" s="449" t="str">
        <f>IFERROR(__xludf.DUMMYFUNCTION("if(isblank($C200),"""",sum(query('Saída'!$A$3:$H$505,""select E where B = 'Fatura' and H ='""&amp;$C200&amp;""' and A = '""&amp;AA$179&amp;""'"")))"),"  ")</f>
        <v/>
      </c>
      <c r="AB200" s="21"/>
      <c r="AC200" s="21"/>
      <c r="AD200" s="21"/>
      <c r="AE200" s="370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</row>
    <row r="201">
      <c r="A201" s="475"/>
      <c r="B201" s="475"/>
      <c r="C201" s="476" t="s">
        <v>342</v>
      </c>
      <c r="D201" s="477"/>
      <c r="E201" s="478"/>
      <c r="F201" s="477"/>
      <c r="G201" s="478"/>
      <c r="H201" s="478"/>
      <c r="I201" s="477"/>
      <c r="J201" s="477"/>
      <c r="K201" s="477"/>
      <c r="L201" s="477"/>
      <c r="M201" s="477"/>
      <c r="N201" s="477"/>
      <c r="O201" s="477"/>
      <c r="P201" s="477"/>
      <c r="Q201" s="477"/>
      <c r="R201" s="477"/>
      <c r="S201" s="477"/>
      <c r="T201" s="477"/>
      <c r="U201" s="477"/>
      <c r="V201" s="477"/>
      <c r="W201" s="477"/>
      <c r="X201" s="477"/>
      <c r="Y201" s="477"/>
      <c r="Z201" s="477"/>
      <c r="AA201" s="477"/>
      <c r="AB201" s="21"/>
      <c r="AC201" s="21"/>
      <c r="AD201" s="21"/>
      <c r="AE201" s="370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370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370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370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370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370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370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370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370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370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370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370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370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370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370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370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370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370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370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370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370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370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370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370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370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370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370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370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370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370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370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370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370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370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370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370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370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370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370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370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370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370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370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370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370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370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370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370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370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370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370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370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370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370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370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370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370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370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370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370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370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370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370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370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370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370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370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370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370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370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370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370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370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370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370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370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370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370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370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370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370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370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370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370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370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370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370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370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370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370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370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370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370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370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370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370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370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370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370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370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370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370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370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370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370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370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370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370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370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370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370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370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370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370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370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370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370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370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370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370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370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370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370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370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370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370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370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370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370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370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370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370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370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370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370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370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370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370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370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370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370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370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370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370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370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370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370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370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370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370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370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370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370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370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370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370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370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370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370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370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370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370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370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370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370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370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370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370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370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370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370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370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370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370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370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370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370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370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370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370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370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370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370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370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370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370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370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370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370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370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370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370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370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370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370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370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370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370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370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370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370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370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370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370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370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370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370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370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370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370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370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370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370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370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370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370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370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370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370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370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370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370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370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370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370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370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370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370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370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370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370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370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370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370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370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370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370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370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370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370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370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370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370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370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370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370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370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370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370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370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370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370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370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370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370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370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370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370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370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370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370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370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370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370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370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370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370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370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370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370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370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370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370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370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370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370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370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370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370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370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370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370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370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370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370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370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370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370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370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370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370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370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370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370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370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370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370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370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370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370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370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370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  <c r="BG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370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  <c r="BG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370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  <c r="BG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370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  <c r="BG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370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  <c r="BG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370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  <c r="BG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370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  <c r="BG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370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  <c r="BG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370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  <c r="BG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370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  <c r="BG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370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  <c r="BG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370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  <c r="BG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370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  <c r="BG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370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  <c r="BG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370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  <c r="BG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370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  <c r="BG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370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  <c r="BG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370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  <c r="BG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370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  <c r="BG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370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  <c r="BG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370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  <c r="BG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370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  <c r="BG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370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  <c r="BG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370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  <c r="BG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370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  <c r="BG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370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  <c r="BG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370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  <c r="BG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370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  <c r="BG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370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  <c r="BG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370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  <c r="BG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370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  <c r="BG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370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  <c r="BG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370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  <c r="BG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370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  <c r="BG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370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370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370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  <c r="BG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370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370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  <c r="BG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370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  <c r="BG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370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  <c r="BG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370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  <c r="BG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370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  <c r="BG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370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370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  <c r="BG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370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  <c r="BG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370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  <c r="BG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370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  <c r="BG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370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  <c r="BG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370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  <c r="BG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370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  <c r="BG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370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  <c r="BG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370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  <c r="BG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370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  <c r="BG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370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  <c r="BG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370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  <c r="BG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370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  <c r="BG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370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  <c r="BG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370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  <c r="BG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370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  <c r="BG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370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  <c r="BG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370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  <c r="BG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370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  <c r="BG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370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  <c r="BG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370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  <c r="BG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370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  <c r="BG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370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  <c r="BG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370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  <c r="BG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370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  <c r="BG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370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  <c r="BG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370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  <c r="BG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370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  <c r="BG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370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  <c r="BG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370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  <c r="BG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370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  <c r="BG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370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  <c r="BG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370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  <c r="BG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370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  <c r="BG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370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  <c r="BG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370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  <c r="BG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370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  <c r="BG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370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  <c r="BG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370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  <c r="BG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370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  <c r="BG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370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  <c r="BG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370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  <c r="BG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370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  <c r="BG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370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370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  <c r="BG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370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  <c r="BG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370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  <c r="BG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370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  <c r="BG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370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  <c r="BG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370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  <c r="BG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370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  <c r="BG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370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  <c r="BG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370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  <c r="BG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370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  <c r="BG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370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  <c r="BG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370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  <c r="BG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370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  <c r="BG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370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  <c r="BG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370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  <c r="BG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370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  <c r="BG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370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  <c r="BG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370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  <c r="BG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370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  <c r="BG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370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  <c r="BG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370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  <c r="BG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370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  <c r="BG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370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  <c r="BG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370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  <c r="BG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370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  <c r="BG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370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  <c r="BG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370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  <c r="BG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370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  <c r="BG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370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  <c r="BG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370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  <c r="BG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370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  <c r="BG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370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  <c r="BG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370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  <c r="BG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370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  <c r="BG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370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  <c r="BG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370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  <c r="BG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370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  <c r="BG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370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  <c r="BG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370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  <c r="BG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370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  <c r="BG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370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  <c r="BG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370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  <c r="BG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370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  <c r="BG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370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  <c r="BG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370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  <c r="BG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370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  <c r="BG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370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  <c r="BG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370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  <c r="BG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370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  <c r="BG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370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  <c r="BG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370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  <c r="BG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370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  <c r="BG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370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  <c r="BG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370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  <c r="BG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370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  <c r="BG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370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  <c r="BG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370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  <c r="BG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370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  <c r="BG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370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  <c r="BG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370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  <c r="BG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370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  <c r="BG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370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  <c r="BG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370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  <c r="BG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370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  <c r="BG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370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  <c r="BG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370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  <c r="BG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370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  <c r="BG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370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  <c r="BG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370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  <c r="BG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370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  <c r="BG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370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  <c r="BG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370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  <c r="BG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370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  <c r="BG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370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  <c r="BG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370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  <c r="BG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370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  <c r="BG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370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  <c r="BG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370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  <c r="BG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370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  <c r="BG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370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  <c r="BG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370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  <c r="BG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370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  <c r="BG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370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  <c r="BG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370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  <c r="BG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370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  <c r="BG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370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  <c r="BG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370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  <c r="BG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370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  <c r="BG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370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  <c r="BG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370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  <c r="BG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370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  <c r="BG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370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  <c r="BG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370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  <c r="BG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370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  <c r="BG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370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  <c r="BG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370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  <c r="BG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370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  <c r="BG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370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  <c r="BG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370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  <c r="BG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370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  <c r="BG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370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  <c r="BG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370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  <c r="BG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370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  <c r="BG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370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  <c r="BG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370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  <c r="BG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370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  <c r="BG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370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  <c r="BG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370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  <c r="BG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370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  <c r="BG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370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  <c r="BG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370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  <c r="BG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370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  <c r="BG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370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  <c r="BG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370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  <c r="BG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370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  <c r="BG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370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  <c r="BG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370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  <c r="BG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370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  <c r="BG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370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  <c r="BG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370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  <c r="BG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370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  <c r="BG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370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  <c r="BG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370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  <c r="BG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370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  <c r="BG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370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  <c r="BG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370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  <c r="BG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370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  <c r="BG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370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  <c r="BG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370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  <c r="BG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370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  <c r="BG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370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  <c r="BG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370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  <c r="BG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370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  <c r="BG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370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  <c r="BG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370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  <c r="BG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370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  <c r="BG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370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  <c r="BG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370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  <c r="BG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370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  <c r="BG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370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  <c r="BG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370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  <c r="BG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370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  <c r="BG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370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  <c r="BG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370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  <c r="BG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370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  <c r="BG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370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  <c r="BG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370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370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  <c r="BG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370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  <c r="BG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370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  <c r="BG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370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  <c r="BG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370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  <c r="BG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370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  <c r="BG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370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  <c r="BG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370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  <c r="BG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370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  <c r="BG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370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  <c r="BG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370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  <c r="BG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370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  <c r="BG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370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  <c r="BG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370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  <c r="BG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370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  <c r="BG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370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  <c r="BG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370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  <c r="BG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370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  <c r="BG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370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  <c r="BG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370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  <c r="BG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370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  <c r="BG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370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  <c r="BG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370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  <c r="BG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370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  <c r="BG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370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  <c r="BG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370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  <c r="BG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370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  <c r="BG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370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  <c r="BG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370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  <c r="BG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370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  <c r="BG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370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  <c r="BG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370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  <c r="BG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370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  <c r="BG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370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  <c r="BG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370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  <c r="BG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370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  <c r="BG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370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  <c r="BG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370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370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  <c r="BG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370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  <c r="BG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370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  <c r="BG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370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  <c r="BG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370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  <c r="BG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370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  <c r="BG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370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  <c r="BG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370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  <c r="BG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370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  <c r="BG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370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  <c r="BG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370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  <c r="BG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370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  <c r="BG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370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  <c r="BG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370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  <c r="BG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370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  <c r="BG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370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  <c r="BG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370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  <c r="BG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370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  <c r="BG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370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  <c r="BG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370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  <c r="BG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370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  <c r="BG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370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  <c r="BG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370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  <c r="BG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370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  <c r="BG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370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  <c r="BG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370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  <c r="BG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370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  <c r="BG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370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  <c r="BG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370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  <c r="BG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370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  <c r="BG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370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  <c r="BG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370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  <c r="BG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370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  <c r="BG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370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  <c r="BG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370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  <c r="BG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370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  <c r="BG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370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  <c r="BG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370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  <c r="BG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370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  <c r="BG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370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  <c r="BG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370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  <c r="BG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370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  <c r="BG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370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  <c r="BG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370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  <c r="BG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370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  <c r="BG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370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  <c r="BG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370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  <c r="BG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370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  <c r="BG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370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  <c r="BG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370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  <c r="BG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370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  <c r="BG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370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  <c r="BG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370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  <c r="BG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370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  <c r="BG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370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  <c r="BG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370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  <c r="BG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370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  <c r="BG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370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  <c r="BG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370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  <c r="BG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370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  <c r="BG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370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  <c r="BG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370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  <c r="BG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370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  <c r="BG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370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  <c r="BG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370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  <c r="BG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370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  <c r="BG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370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  <c r="BG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370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  <c r="BG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370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  <c r="BG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370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  <c r="BG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370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  <c r="BG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370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  <c r="BG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370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  <c r="BG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370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  <c r="BG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370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  <c r="BG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370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  <c r="BG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370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  <c r="BG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370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  <c r="BG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370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  <c r="BG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370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  <c r="BG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370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  <c r="BG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370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  <c r="BG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370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  <c r="BG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370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  <c r="BG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370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  <c r="BG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370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  <c r="BG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370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  <c r="BG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370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  <c r="BG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370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  <c r="BG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370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  <c r="BG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370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  <c r="BG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370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  <c r="BG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370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  <c r="BG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370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  <c r="BG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370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  <c r="BG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370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  <c r="BG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370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  <c r="BG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370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  <c r="BG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370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  <c r="BG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370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  <c r="BG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370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  <c r="BG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370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  <c r="BG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370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  <c r="BG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370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  <c r="BG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370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  <c r="BG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370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  <c r="BG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370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  <c r="BG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370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  <c r="BG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370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  <c r="BG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370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  <c r="BG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370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  <c r="BG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370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  <c r="BG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370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  <c r="BG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370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  <c r="BG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370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  <c r="BG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370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  <c r="BG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370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  <c r="BG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370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  <c r="BG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370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  <c r="BG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370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  <c r="BG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370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  <c r="BG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370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  <c r="BG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370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  <c r="BG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370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  <c r="BG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370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  <c r="BG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370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  <c r="BG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370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  <c r="BG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370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  <c r="BG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370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  <c r="BG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370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  <c r="BG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370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  <c r="BG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370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  <c r="BG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370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  <c r="BG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370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  <c r="BG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370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  <c r="BG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370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  <c r="BG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370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  <c r="BG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370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  <c r="BG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370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  <c r="BG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370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  <c r="BG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370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  <c r="BG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370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  <c r="BG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370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  <c r="BG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370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  <c r="BG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370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  <c r="BG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370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  <c r="BG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370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  <c r="BG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370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  <c r="BG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370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  <c r="BG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370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  <c r="BG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370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  <c r="BG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370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  <c r="BG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370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  <c r="BG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370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  <c r="BG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370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  <c r="BG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370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  <c r="BG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370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  <c r="BG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370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  <c r="BG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370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  <c r="BG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370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  <c r="BG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370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  <c r="BG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370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  <c r="BG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370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  <c r="BG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370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  <c r="BG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370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  <c r="BG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370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  <c r="BG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370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  <c r="BG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370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  <c r="BG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370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  <c r="BG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370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  <c r="BG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370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  <c r="BG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370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  <c r="BG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370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  <c r="BG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370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  <c r="BG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370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  <c r="BG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370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  <c r="BG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370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  <c r="BG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370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  <c r="BG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370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  <c r="BG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370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  <c r="BG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370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  <c r="BG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370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  <c r="BG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370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  <c r="BG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370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  <c r="BG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370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  <c r="BG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370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  <c r="BG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370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  <c r="BG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370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  <c r="BG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370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  <c r="BG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370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  <c r="BG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370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  <c r="BG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370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  <c r="BG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370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  <c r="BG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370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  <c r="BG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370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  <c r="BG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370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  <c r="BG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370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  <c r="BG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370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  <c r="BG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370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  <c r="BG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370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  <c r="BG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370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  <c r="BG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370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  <c r="BG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370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  <c r="BG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370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  <c r="BG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370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  <c r="BG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370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  <c r="BG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370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  <c r="BG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370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  <c r="BG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370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  <c r="BG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370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  <c r="BG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370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  <c r="BG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370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  <c r="BG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370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  <c r="BG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370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  <c r="BG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370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  <c r="BG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370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  <c r="BG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370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  <c r="BG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370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  <c r="BG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370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  <c r="BG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370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  <c r="BG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370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  <c r="BG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370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  <c r="BG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370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  <c r="BG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370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  <c r="BG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370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  <c r="BG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370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  <c r="BG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370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  <c r="BG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370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  <c r="BG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370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  <c r="BG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370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  <c r="BG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370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  <c r="BG1005" s="21"/>
    </row>
  </sheetData>
  <mergeCells count="11">
    <mergeCell ref="B25:C26"/>
    <mergeCell ref="B177:C178"/>
    <mergeCell ref="D178:O178"/>
    <mergeCell ref="P178:AA178"/>
    <mergeCell ref="B1:C2"/>
    <mergeCell ref="D2:O2"/>
    <mergeCell ref="P2:AA2"/>
    <mergeCell ref="AC3:AJ3"/>
    <mergeCell ref="D26:O26"/>
    <mergeCell ref="P26:AA26"/>
    <mergeCell ref="AC26:AD26"/>
  </mergeCells>
  <drawing r:id="rId1"/>
  <tableParts count="4">
    <tablePart r:id="rId6"/>
    <tablePart r:id="rId7"/>
    <tablePart r:id="rId8"/>
    <tablePart r:id="rId9"/>
  </tableParts>
</worksheet>
</file>