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9.xml"/>
  <Override ContentType="application/vnd.openxmlformats-officedocument.spreadsheetml.table+xml" PartName="/xl/tables/table5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5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37.xml"/>
  <Override ContentType="application/vnd.openxmlformats-officedocument.spreadsheetml.table+xml" PartName="/xl/tables/table29.xml"/>
  <Override ContentType="application/vnd.openxmlformats-officedocument.spreadsheetml.table+xml" PartName="/xl/tables/table5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56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55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60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Resumo" sheetId="2" r:id="rId5"/>
    <sheet state="visible" name="Tabelas" sheetId="3" r:id="rId6"/>
    <sheet state="visible" name="Entrada" sheetId="4" r:id="rId7"/>
    <sheet state="visible" name="Saída" sheetId="5" r:id="rId8"/>
    <sheet state="visible" name="Movimentação" sheetId="6" r:id="rId9"/>
    <sheet state="visible" name="Cartões" sheetId="7" r:id="rId10"/>
  </sheets>
  <definedNames/>
  <calcPr/>
</workbook>
</file>

<file path=xl/sharedStrings.xml><?xml version="1.0" encoding="utf-8"?>
<sst xmlns="http://schemas.openxmlformats.org/spreadsheetml/2006/main" count="4209" uniqueCount="356">
  <si>
    <t>Nome:</t>
  </si>
  <si>
    <t>Ivan Alisson Cavalcante Nunes De Lima</t>
  </si>
  <si>
    <t>Ano:</t>
  </si>
  <si>
    <t>Instruções:</t>
  </si>
  <si>
    <t>1 -</t>
  </si>
  <si>
    <t>Na tabela "Lista de contas" adicione nomes que identificam as contas que deseja acompanhar.</t>
  </si>
  <si>
    <t>1 - Lista de contas</t>
  </si>
  <si>
    <t>2 - Lista de cartões</t>
  </si>
  <si>
    <t>- Em seguida selecione o tipo da conta e defina um código de identificação para essa conta, preferenciamente alfanumérico</t>
  </si>
  <si>
    <t>Contas</t>
  </si>
  <si>
    <t>Tipo</t>
  </si>
  <si>
    <t>Código</t>
  </si>
  <si>
    <t>Cartões</t>
  </si>
  <si>
    <t>- Caso o tipo da conta não esteja na lista, basta ir a aba 'Tabelas' e adicionar no campo 'Tipos de conta'</t>
  </si>
  <si>
    <t>Nubank</t>
  </si>
  <si>
    <t>Conta corrente</t>
  </si>
  <si>
    <t>NU</t>
  </si>
  <si>
    <t>NUCC</t>
  </si>
  <si>
    <t>Poupança</t>
  </si>
  <si>
    <t>NP</t>
  </si>
  <si>
    <t xml:space="preserve">2 - </t>
  </si>
  <si>
    <t>Na tabela "Lista de cartões" adicione os cartões que deseja companhar</t>
  </si>
  <si>
    <t>Carteira</t>
  </si>
  <si>
    <t>Físico</t>
  </si>
  <si>
    <t>CT</t>
  </si>
  <si>
    <t>- Nome e um código de identificação</t>
  </si>
  <si>
    <t>Banco Do Brasil</t>
  </si>
  <si>
    <t>BB</t>
  </si>
  <si>
    <t>Rico</t>
  </si>
  <si>
    <t>Investimento</t>
  </si>
  <si>
    <t>RC</t>
  </si>
  <si>
    <t>3 -</t>
  </si>
  <si>
    <t>As tabelas "Balanço" e "Cartões" são automáticas</t>
  </si>
  <si>
    <t>- Nessas tabelas você pode acompanhar o saldo atual presente em cada conta</t>
  </si>
  <si>
    <t>- Em "Balanço" é necessário preencher apenas a linha "Inicial", com o valor atual em cada uma das contas que estão sendo controladas</t>
  </si>
  <si>
    <t>e a linha "Código' com o código de identificação de cada conta, definido por você</t>
  </si>
  <si>
    <t>- Em cartões o campo "Inicial" se refere ao saldo devedor do cartão e "Limite" se refere ao limite do cartão</t>
  </si>
  <si>
    <t>- O valor devedor tem que ser negativo, exemplo -1900,00</t>
  </si>
  <si>
    <t>3 - Balanço</t>
  </si>
  <si>
    <t>Montante</t>
  </si>
  <si>
    <t>Inicial</t>
  </si>
  <si>
    <t>Atual</t>
  </si>
  <si>
    <t>4 - Cartões</t>
  </si>
  <si>
    <t>Limite</t>
  </si>
  <si>
    <t>Proporção</t>
  </si>
  <si>
    <t>Visão Geral - Entrada e gastos por categoria</t>
  </si>
  <si>
    <t>Entrada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</si>
  <si>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</si>
  <si>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</si>
  <si>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</si>
  <si>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</si>
  <si>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</si>
  <si>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</si>
  <si>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</si>
  <si>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</si>
  <si>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</si>
  <si>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</si>
  <si>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</si>
  <si>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</si>
  <si>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</si>
  <si>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Saída</t>
  </si>
  <si>
    <t>1 - Nesta planilha serão adicionadas as categorias que desejar controlar, os campos vazios estão livres para esta finalidade</t>
  </si>
  <si>
    <t>- As categorias são separadas em três grupos 'Gastos', 'Recebido' e 'Movimentação'</t>
  </si>
  <si>
    <t xml:space="preserve">Gastos: </t>
  </si>
  <si>
    <t>Aqui você define as categorias dos gastos que deseja controlar.</t>
  </si>
  <si>
    <t>Recebido:</t>
  </si>
  <si>
    <t>Segue a mesma ideia do campo anterior, porém você definirá categorias que representem a entrada de renda.</t>
  </si>
  <si>
    <t>Movimentação:</t>
  </si>
  <si>
    <t>Categorias de movimentação de dinheiro entre contas</t>
  </si>
  <si>
    <t>Categorias de fluxos</t>
  </si>
  <si>
    <t>Tipos de Conta</t>
  </si>
  <si>
    <t>Gastos</t>
  </si>
  <si>
    <t>Recebido</t>
  </si>
  <si>
    <t>Movimentação</t>
  </si>
  <si>
    <t>Nome</t>
  </si>
  <si>
    <t>Alimentação</t>
  </si>
  <si>
    <t>AL</t>
  </si>
  <si>
    <t>Mesada</t>
  </si>
  <si>
    <t>ME</t>
  </si>
  <si>
    <t>Saque</t>
  </si>
  <si>
    <t>SQ</t>
  </si>
  <si>
    <t>Conta Corrente</t>
  </si>
  <si>
    <t>Habitação</t>
  </si>
  <si>
    <t>HA</t>
  </si>
  <si>
    <t>Salário</t>
  </si>
  <si>
    <t>SA</t>
  </si>
  <si>
    <t>Transferência</t>
  </si>
  <si>
    <t>TF</t>
  </si>
  <si>
    <t>Débito</t>
  </si>
  <si>
    <t>Lazer</t>
  </si>
  <si>
    <t>LA</t>
  </si>
  <si>
    <t>Rend. Extra</t>
  </si>
  <si>
    <t>RE</t>
  </si>
  <si>
    <t>Transporte</t>
  </si>
  <si>
    <t>TR</t>
  </si>
  <si>
    <t>Temporário</t>
  </si>
  <si>
    <t>TE</t>
  </si>
  <si>
    <t>Extra</t>
  </si>
  <si>
    <t>EX</t>
  </si>
  <si>
    <t>Rendimentos</t>
  </si>
  <si>
    <t>RD</t>
  </si>
  <si>
    <t>Educação</t>
  </si>
  <si>
    <t>ED</t>
  </si>
  <si>
    <t>Retorno</t>
  </si>
  <si>
    <t>RET</t>
  </si>
  <si>
    <t>Saúde</t>
  </si>
  <si>
    <t>SD</t>
  </si>
  <si>
    <t>Fatura</t>
  </si>
  <si>
    <t>PF</t>
  </si>
  <si>
    <t>Serviços</t>
  </si>
  <si>
    <t>SR</t>
  </si>
  <si>
    <t>Produtos</t>
  </si>
  <si>
    <t>PD</t>
  </si>
  <si>
    <t>Detalhamento</t>
  </si>
  <si>
    <t>Mês</t>
  </si>
  <si>
    <t>Categoria</t>
  </si>
  <si>
    <t>Dia</t>
  </si>
  <si>
    <t>Descrição</t>
  </si>
  <si>
    <t>Valor</t>
  </si>
  <si>
    <t>Destino</t>
  </si>
  <si>
    <t>Mariana</t>
  </si>
  <si>
    <t>Diarista R3</t>
  </si>
  <si>
    <t>Serviço Ingrid</t>
  </si>
  <si>
    <t>Dolce France</t>
  </si>
  <si>
    <t>Recebido p/ Uber</t>
  </si>
  <si>
    <t>Serviço Stênio</t>
  </si>
  <si>
    <t>Cofre</t>
  </si>
  <si>
    <t>Diarista X4</t>
  </si>
  <si>
    <t>Keuler</t>
  </si>
  <si>
    <t>Compras pai</t>
  </si>
  <si>
    <t>Devolução dinheiro</t>
  </si>
  <si>
    <t>Gás Recebido</t>
  </si>
  <si>
    <t>Recebido Vivo</t>
  </si>
  <si>
    <t>Retonro Anne</t>
  </si>
  <si>
    <t>Redimentos</t>
  </si>
  <si>
    <t>REcebido Pai</t>
  </si>
  <si>
    <t>Diarista 4x</t>
  </si>
  <si>
    <t>Pagamento do carro</t>
  </si>
  <si>
    <t>Extra pro COmbustível</t>
  </si>
  <si>
    <t>Serviço Stenio</t>
  </si>
  <si>
    <t>Venda Equip</t>
  </si>
  <si>
    <t>rendimentos</t>
  </si>
  <si>
    <t>Cartão</t>
  </si>
  <si>
    <t>Para usar com mãe</t>
  </si>
  <si>
    <t>Ícaro</t>
  </si>
  <si>
    <t>Receptop P2</t>
  </si>
  <si>
    <t>Serviço Camila</t>
  </si>
  <si>
    <t>Recebido Mãe</t>
  </si>
  <si>
    <t>Serviço Raíssa</t>
  </si>
  <si>
    <t>Seviço Alan</t>
  </si>
  <si>
    <t>Parcela pai</t>
  </si>
  <si>
    <t>Klaus</t>
  </si>
  <si>
    <t>Ingrid</t>
  </si>
  <si>
    <t>mesada</t>
  </si>
  <si>
    <t>Teste Sumup</t>
  </si>
  <si>
    <t>Auxilio</t>
  </si>
  <si>
    <t>Máquina + Diarista</t>
  </si>
  <si>
    <t>Jardel</t>
  </si>
  <si>
    <t>Auxílio</t>
  </si>
  <si>
    <t>Serviço Mariana</t>
  </si>
  <si>
    <t>Serviço Igor</t>
  </si>
  <si>
    <t>Bolsa</t>
  </si>
  <si>
    <t>Camila pizza</t>
  </si>
  <si>
    <t>Condominio</t>
  </si>
  <si>
    <t>Serviço Jardel</t>
  </si>
  <si>
    <t>Diarista x3</t>
  </si>
  <si>
    <t>Serviço Stênio ( cabo lvds )</t>
  </si>
  <si>
    <t>Uber Moany</t>
  </si>
  <si>
    <t>Gás</t>
  </si>
  <si>
    <t>Cabo</t>
  </si>
  <si>
    <t>Transferência para Moany</t>
  </si>
  <si>
    <t>Moany</t>
  </si>
  <si>
    <t>Energia</t>
  </si>
  <si>
    <t>Moany lanche</t>
  </si>
  <si>
    <t>Diarista x2</t>
  </si>
  <si>
    <t>Rendimentos Nubank</t>
  </si>
  <si>
    <t>Conta Mãe</t>
  </si>
  <si>
    <t>Pizzas</t>
  </si>
  <si>
    <t>Mãe</t>
  </si>
  <si>
    <t>Serviço Marcelo</t>
  </si>
  <si>
    <t>Moani</t>
  </si>
  <si>
    <t>Peças</t>
  </si>
  <si>
    <t>Para investir, mãe</t>
  </si>
  <si>
    <t>Rendimento</t>
  </si>
  <si>
    <t>Camila PIzza</t>
  </si>
  <si>
    <t>Gian</t>
  </si>
  <si>
    <t>Raúl Basílio (Fone)</t>
  </si>
  <si>
    <t>Troca com Marcelo 50x46,75</t>
  </si>
  <si>
    <t>Combustível</t>
  </si>
  <si>
    <t>Serviço Raissa</t>
  </si>
  <si>
    <t>Origem</t>
  </si>
  <si>
    <t>Cod. Cartão</t>
  </si>
  <si>
    <t>ID</t>
  </si>
  <si>
    <t>Valor total</t>
  </si>
  <si>
    <t>Parcelas</t>
  </si>
  <si>
    <t>V/ parcela</t>
  </si>
  <si>
    <t>Balanço</t>
  </si>
  <si>
    <t>Uber</t>
  </si>
  <si>
    <t>Farmácia</t>
  </si>
  <si>
    <t>Correios</t>
  </si>
  <si>
    <t>Água</t>
  </si>
  <si>
    <t>Uber3</t>
  </si>
  <si>
    <t>Pousada</t>
  </si>
  <si>
    <t>AliExpress Pai</t>
  </si>
  <si>
    <t>Uber4</t>
  </si>
  <si>
    <t>Praia</t>
  </si>
  <si>
    <t>Uber11</t>
  </si>
  <si>
    <t>Bebida</t>
  </si>
  <si>
    <t>Bangood1</t>
  </si>
  <si>
    <t>Mercado</t>
  </si>
  <si>
    <t>Casa Duval Paiva</t>
  </si>
  <si>
    <t>Café da Manhã</t>
  </si>
  <si>
    <t>balanço</t>
  </si>
  <si>
    <t>Tarifa de serviços</t>
  </si>
  <si>
    <t>Diarista P1</t>
  </si>
  <si>
    <t>Whiskritório</t>
  </si>
  <si>
    <t>Bar.co</t>
  </si>
  <si>
    <t>Parque das Dunas</t>
  </si>
  <si>
    <t>Diarista</t>
  </si>
  <si>
    <t>Camila</t>
  </si>
  <si>
    <t>Ônibus</t>
  </si>
  <si>
    <t>Marcelo</t>
  </si>
  <si>
    <t>Casa Olinda</t>
  </si>
  <si>
    <t>Fatura Nubank</t>
  </si>
  <si>
    <t>água</t>
  </si>
  <si>
    <t>Vitão</t>
  </si>
  <si>
    <t>Invasão</t>
  </si>
  <si>
    <t>Pastilha</t>
  </si>
  <si>
    <t>ônibus</t>
  </si>
  <si>
    <t>Google play</t>
  </si>
  <si>
    <t>Trufas</t>
  </si>
  <si>
    <t>Estacionamento</t>
  </si>
  <si>
    <t>Tarifas Banco</t>
  </si>
  <si>
    <t>PG VIvo</t>
  </si>
  <si>
    <t>Casa Pirangi</t>
  </si>
  <si>
    <t>Comida + Água</t>
  </si>
  <si>
    <t>Drogasil</t>
  </si>
  <si>
    <t>Almoço</t>
  </si>
  <si>
    <t>Lanches</t>
  </si>
  <si>
    <t>Receptor x3</t>
  </si>
  <si>
    <t>Jantar</t>
  </si>
  <si>
    <t>99Pop1</t>
  </si>
  <si>
    <t>Taxa novo cartão</t>
  </si>
  <si>
    <t>99Pop2</t>
  </si>
  <si>
    <t>Rastapé</t>
  </si>
  <si>
    <t>Uber6</t>
  </si>
  <si>
    <t>Uber7</t>
  </si>
  <si>
    <t>Diarista 1</t>
  </si>
  <si>
    <t>Cartão Transporte</t>
  </si>
  <si>
    <t>Café</t>
  </si>
  <si>
    <t>Curva DO vento</t>
  </si>
  <si>
    <t>Tarifa BB</t>
  </si>
  <si>
    <t>Nildo</t>
  </si>
  <si>
    <t>Diarista 2</t>
  </si>
  <si>
    <t>Açaí</t>
  </si>
  <si>
    <t>Zico</t>
  </si>
  <si>
    <t>Fatua Nubank</t>
  </si>
  <si>
    <t>Frete livro</t>
  </si>
  <si>
    <t>IOF</t>
  </si>
  <si>
    <t>Encargos</t>
  </si>
  <si>
    <t>Uber8</t>
  </si>
  <si>
    <t>Chá</t>
  </si>
  <si>
    <t>Chip</t>
  </si>
  <si>
    <t>Adiantamento Nubank</t>
  </si>
  <si>
    <t>Bolo</t>
  </si>
  <si>
    <t>Juros</t>
  </si>
  <si>
    <t>Máscara</t>
  </si>
  <si>
    <t>Google EA</t>
  </si>
  <si>
    <t>Juliana</t>
  </si>
  <si>
    <t>Pgamento para Mãe</t>
  </si>
  <si>
    <t>Wix1</t>
  </si>
  <si>
    <t>Taxa Transf. Exterior</t>
  </si>
  <si>
    <t>Wix2</t>
  </si>
  <si>
    <t>Miranda</t>
  </si>
  <si>
    <t>Kindle</t>
  </si>
  <si>
    <t>Pagamento fatura</t>
  </si>
  <si>
    <t>Sexshop</t>
  </si>
  <si>
    <t>Agaé</t>
  </si>
  <si>
    <t>Leroy Merlin</t>
  </si>
  <si>
    <t>Lampadinha</t>
  </si>
  <si>
    <t>Rifa Jéssica</t>
  </si>
  <si>
    <t>Cidade Jardim</t>
  </si>
  <si>
    <t>Carrefour</t>
  </si>
  <si>
    <t>Agaé1</t>
  </si>
  <si>
    <t>Eletrônicos</t>
  </si>
  <si>
    <t>Valério Info</t>
  </si>
  <si>
    <t>Top Máquinas</t>
  </si>
  <si>
    <t>Moa</t>
  </si>
  <si>
    <t>Pizza</t>
  </si>
  <si>
    <t>Inside</t>
  </si>
  <si>
    <t>Hospital dos olhos</t>
  </si>
  <si>
    <t>Peça ML Stenio</t>
  </si>
  <si>
    <t>Nordestão</t>
  </si>
  <si>
    <t>Alura</t>
  </si>
  <si>
    <t>Sinal</t>
  </si>
  <si>
    <t>Uber Moa</t>
  </si>
  <si>
    <t>Diarista 1/3</t>
  </si>
  <si>
    <t>Pai</t>
  </si>
  <si>
    <t>/</t>
  </si>
  <si>
    <t>Repassado para Moany</t>
  </si>
  <si>
    <t>Remédio</t>
  </si>
  <si>
    <t>Cachorro quente</t>
  </si>
  <si>
    <t>Diarista 2/3</t>
  </si>
  <si>
    <t>Transferido Moa</t>
  </si>
  <si>
    <t>Lanche</t>
  </si>
  <si>
    <t>Flanelinha</t>
  </si>
  <si>
    <t>Moedas Pai</t>
  </si>
  <si>
    <t>GenoBio</t>
  </si>
  <si>
    <t>Pagamento Mãe</t>
  </si>
  <si>
    <t>Internet</t>
  </si>
  <si>
    <t>Remédio Pondera</t>
  </si>
  <si>
    <t>Goodala</t>
  </si>
  <si>
    <t>Memórias</t>
  </si>
  <si>
    <t>Diarista 3/3</t>
  </si>
  <si>
    <t>Processador</t>
  </si>
  <si>
    <t>Miranda Placa Mãe</t>
  </si>
  <si>
    <t>Transistor</t>
  </si>
  <si>
    <t>Natal Service ( Placa de potência )</t>
  </si>
  <si>
    <t>Flor</t>
  </si>
  <si>
    <t>Travesseiro Moa</t>
  </si>
  <si>
    <t>Adubo Orquídea</t>
  </si>
  <si>
    <t>Balas</t>
  </si>
  <si>
    <t>Diarista 1/2</t>
  </si>
  <si>
    <t>Preservativos</t>
  </si>
  <si>
    <t xml:space="preserve">Pizza </t>
  </si>
  <si>
    <t>Telefone</t>
  </si>
  <si>
    <t>Confa pd</t>
  </si>
  <si>
    <t>Teclado</t>
  </si>
  <si>
    <t>Diarista X1</t>
  </si>
  <si>
    <t>Gasolina</t>
  </si>
  <si>
    <t>Diarista X2</t>
  </si>
  <si>
    <t>Sushi</t>
  </si>
  <si>
    <t>Pastel</t>
  </si>
  <si>
    <t>Coco</t>
  </si>
  <si>
    <t>Cód. Origem</t>
  </si>
  <si>
    <t>Cód. Destino</t>
  </si>
  <si>
    <t>Tranferência</t>
  </si>
  <si>
    <t>Deposituo Nubank</t>
  </si>
  <si>
    <t>Transferência Rico</t>
  </si>
  <si>
    <t>Depósito Nubank</t>
  </si>
  <si>
    <t>Transferência XP</t>
  </si>
  <si>
    <t>Bolsa + Mesada</t>
  </si>
  <si>
    <t>Transferencia BB</t>
  </si>
  <si>
    <t>Transferência BB</t>
  </si>
  <si>
    <t>Pix BBNu</t>
  </si>
  <si>
    <t>Deposito BB</t>
  </si>
  <si>
    <t>Pix</t>
  </si>
  <si>
    <t>Deposito</t>
  </si>
  <si>
    <t>Valores Gerais</t>
  </si>
  <si>
    <t>Para exportar</t>
  </si>
  <si>
    <t>Mensal</t>
  </si>
  <si>
    <t>Distribuição das compras</t>
  </si>
  <si>
    <t>Para importar</t>
  </si>
  <si>
    <t>Id</t>
  </si>
  <si>
    <t>Faturas Pagas</t>
  </si>
  <si>
    <t>Bônus de Adian.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</si>
</sst>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[$R$ -416]#,##0.00"/>
    <numFmt numFmtId="165" formatCode="_([$R$ -416]* #,##0.00_);_([$R$ -416]* \(#,##0.00\);_([$R$ -416]* &quot;-&quot;??_);_(@_)"/>
    <numFmt numFmtId="166" formatCode="dd/MM/yyyy"/>
    <numFmt numFmtId="167" formatCode="d&quot;/&quot;mmm"/>
    <numFmt numFmtId="168" formatCode="d/mmm"/>
    <numFmt numFmtId="169" formatCode="ddd&quot;, &quot;d&quot;/&quot;mmmm"/>
    <numFmt numFmtId="170" formatCode="dd/mm"/>
    <numFmt numFmtId="171" formatCode="_([$R$ -416]* #,##0.00_);_([$R$ -416]* \(#,##0.00\);_([$R$ -416]* &quot;-&quot;??.0_);_(@_)"/>
    <numFmt numFmtId="172" formatCode="d/m"/>
    <numFmt numFmtId="173" formatCode="dd/mm/yyyy"/>
  </numFmts>
  <fonts count="44">
    <font>
      <sz val="10.0"/>
      <color rgb="FF000000"/>
      <name val="Arial"/>
      <scheme val="minor"/>
    </font>
    <font>
      <b/>
      <sz val="18.0"/>
      <color theme="1"/>
      <name val="Roboto"/>
    </font>
    <font>
      <sz val="18.0"/>
      <color theme="1"/>
      <name val="Roboto"/>
    </font>
    <font>
      <color theme="1"/>
      <name val="Roboto"/>
    </font>
    <font>
      <sz val="18.0"/>
      <color rgb="FF3C4043"/>
      <name val="Roboto"/>
    </font>
    <font>
      <sz val="11.0"/>
      <color rgb="FF3C4043"/>
      <name val="Roboto"/>
    </font>
    <font>
      <color rgb="FFFFFFFF"/>
      <name val="Roboto"/>
    </font>
    <font/>
    <font>
      <sz val="10.0"/>
      <color rgb="FF3C4043"/>
      <name val="Roboto"/>
    </font>
    <font>
      <sz val="10.0"/>
      <color theme="1"/>
      <name val="Roboto"/>
    </font>
    <font>
      <sz val="10.0"/>
      <color rgb="FFFFFFFF"/>
      <name val="Roboto"/>
    </font>
    <font>
      <color theme="1"/>
      <name val="Arial"/>
      <scheme val="minor"/>
    </font>
    <font>
      <sz val="11.0"/>
      <color rgb="FF000000"/>
      <name val="Roboto"/>
    </font>
    <font>
      <sz val="11.0"/>
      <color rgb="FFF4B400"/>
      <name val="Inconsolata"/>
    </font>
    <font>
      <b/>
      <sz val="24.0"/>
      <color theme="1"/>
      <name val="Roboto"/>
    </font>
    <font>
      <b/>
      <color theme="1"/>
      <name val="Roboto"/>
    </font>
    <font>
      <b/>
      <color rgb="FFFFFFFF"/>
      <name val="Roboto"/>
    </font>
    <font>
      <b/>
      <sz val="11.0"/>
      <color rgb="FFFFFFFF"/>
      <name val="Roboto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  <font>
      <b/>
      <sz val="11.0"/>
      <color theme="1"/>
      <name val="Inconsolata"/>
    </font>
    <font>
      <sz val="10.0"/>
      <color theme="1"/>
      <name val="Arial"/>
      <scheme val="minor"/>
    </font>
    <font>
      <b/>
      <sz val="10.0"/>
      <color rgb="FFFFFFFF"/>
      <name val="Roboto"/>
    </font>
    <font>
      <sz val="10.0"/>
      <color rgb="FFFFFFFF"/>
      <name val="Arial"/>
      <scheme val="minor"/>
    </font>
    <font>
      <b/>
      <sz val="10.0"/>
      <color rgb="FFFFFFFF"/>
      <name val="Arial"/>
      <scheme val="minor"/>
    </font>
    <font>
      <sz val="10.0"/>
      <color rgb="FFFFFFFF"/>
      <name val="Arial"/>
    </font>
    <font>
      <sz val="10.0"/>
      <color rgb="FF000000"/>
      <name val="Inconsolata"/>
    </font>
    <font>
      <b/>
      <sz val="10.0"/>
      <color theme="1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  <font>
      <color theme="1"/>
      <name val="Arial"/>
    </font>
    <font>
      <b/>
      <sz val="12.0"/>
      <color theme="1"/>
      <name val="Arial"/>
      <scheme val="minor"/>
    </font>
    <font>
      <b/>
      <color rgb="FFFFFFFF"/>
      <name val="Arial"/>
    </font>
    <font>
      <b/>
      <color rgb="FFFFFFFF"/>
      <name val="Arial"/>
      <scheme val="minor"/>
    </font>
    <font>
      <b/>
      <sz val="12.0"/>
      <color rgb="FFFFFFFF"/>
      <name val="Arial"/>
      <scheme val="minor"/>
    </font>
    <font>
      <u/>
      <color rgb="FF000000"/>
    </font>
    <font>
      <sz val="11.0"/>
      <color rgb="FF7E3794"/>
      <name val="Inconsolata"/>
    </font>
    <font>
      <b/>
      <sz val="10.0"/>
      <color theme="1"/>
      <name val="Roboto"/>
    </font>
    <font>
      <sz val="10.0"/>
      <color theme="1"/>
      <name val="Arial"/>
    </font>
    <font>
      <b/>
      <sz val="11.0"/>
      <color rgb="FFFFFFFF"/>
      <name val="Inconsolata"/>
    </font>
    <font>
      <sz val="10.0"/>
      <color rgb="FF000000"/>
      <name val="Roboto"/>
    </font>
    <font>
      <sz val="11.0"/>
      <color theme="1"/>
      <name val="Inconsolata"/>
    </font>
    <font>
      <b/>
      <sz val="10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674EA7"/>
        <bgColor rgb="FF674EA7"/>
      </patternFill>
    </fill>
    <fill>
      <patternFill patternType="solid">
        <fgColor rgb="FF351C75"/>
        <bgColor rgb="FF351C75"/>
      </patternFill>
    </fill>
    <fill>
      <patternFill patternType="solid">
        <fgColor rgb="FF63D297"/>
        <bgColor rgb="FF63D297"/>
      </patternFill>
    </fill>
    <fill>
      <patternFill patternType="solid">
        <fgColor rgb="FFE06666"/>
        <bgColor rgb="FFE06666"/>
      </patternFill>
    </fill>
    <fill>
      <patternFill patternType="solid">
        <fgColor rgb="FF8BC34A"/>
        <bgColor rgb="FF8BC34A"/>
      </patternFill>
    </fill>
    <fill>
      <patternFill patternType="solid">
        <fgColor rgb="FFA61C00"/>
        <bgColor rgb="FFA61C00"/>
      </patternFill>
    </fill>
    <fill>
      <patternFill patternType="solid">
        <fgColor theme="8"/>
        <bgColor theme="8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7CB4D"/>
        <bgColor rgb="FFF7CB4D"/>
      </patternFill>
    </fill>
    <fill>
      <patternFill patternType="solid">
        <fgColor rgb="FFBDBDBD"/>
        <bgColor rgb="FFBDBDBD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5B95F9"/>
        <bgColor rgb="FF5B95F9"/>
      </patternFill>
    </fill>
    <fill>
      <patternFill patternType="solid">
        <fgColor rgb="FF6AA84F"/>
        <bgColor rgb="FF6AA84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1" fillId="3" fontId="6" numFmtId="0" xfId="0" applyAlignment="1" applyBorder="1" applyFill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4" fillId="3" fontId="6" numFmtId="0" xfId="0" applyAlignment="1" applyBorder="1" applyFont="1">
      <alignment horizontal="center" readingOrder="0"/>
    </xf>
    <xf borderId="5" fillId="0" fontId="7" numFmtId="0" xfId="0" applyBorder="1" applyFont="1"/>
    <xf borderId="6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7" fillId="3" fontId="6" numFmtId="0" xfId="0" applyBorder="1" applyFont="1"/>
    <xf borderId="7" fillId="3" fontId="6" numFmtId="0" xfId="0" applyAlignment="1" applyBorder="1" applyFont="1">
      <alignment horizontal="center" readingOrder="0"/>
    </xf>
    <xf borderId="7" fillId="3" fontId="6" numFmtId="0" xfId="0" applyAlignment="1" applyBorder="1" applyFont="1">
      <alignment horizontal="center"/>
    </xf>
    <xf borderId="8" fillId="3" fontId="6" numFmtId="0" xfId="0" applyAlignment="1" applyBorder="1" applyFont="1">
      <alignment readingOrder="0"/>
    </xf>
    <xf borderId="8" fillId="2" fontId="8" numFmtId="0" xfId="0" applyAlignment="1" applyBorder="1" applyFont="1">
      <alignment horizontal="left" readingOrder="0"/>
    </xf>
    <xf borderId="8" fillId="0" fontId="9" numFmtId="0" xfId="0" applyAlignment="1" applyBorder="1" applyFont="1">
      <alignment readingOrder="0"/>
    </xf>
    <xf borderId="0" fillId="0" fontId="9" numFmtId="0" xfId="0" applyFont="1"/>
    <xf borderId="9" fillId="3" fontId="10" numFmtId="0" xfId="0" applyAlignment="1" applyBorder="1" applyFont="1">
      <alignment readingOrder="0"/>
    </xf>
    <xf borderId="9" fillId="0" fontId="9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6" fillId="0" fontId="9" numFmtId="0" xfId="0" applyAlignment="1" applyBorder="1" applyFont="1">
      <alignment readingOrder="0"/>
    </xf>
    <xf borderId="8" fillId="3" fontId="10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8" fillId="0" fontId="9" numFmtId="0" xfId="0" applyAlignment="1" applyBorder="1" applyFont="1">
      <alignment readingOrder="0"/>
    </xf>
    <xf borderId="6" fillId="0" fontId="9" numFmtId="0" xfId="0" applyBorder="1" applyFont="1"/>
    <xf borderId="8" fillId="0" fontId="9" numFmtId="0" xfId="0" applyBorder="1" applyFont="1"/>
    <xf borderId="0" fillId="0" fontId="11" numFmtId="0" xfId="0" applyAlignment="1" applyFont="1">
      <alignment readingOrder="0"/>
    </xf>
    <xf borderId="0" fillId="0" fontId="3" numFmtId="164" xfId="0" applyFont="1" applyNumberFormat="1"/>
    <xf borderId="0" fillId="2" fontId="12" numFmtId="0" xfId="0" applyAlignment="1" applyFont="1">
      <alignment horizontal="left" readingOrder="0"/>
    </xf>
    <xf borderId="0" fillId="2" fontId="13" numFmtId="0" xfId="0" applyFont="1"/>
    <xf borderId="10" fillId="3" fontId="6" numFmtId="0" xfId="0" applyAlignment="1" applyBorder="1" applyFont="1">
      <alignment readingOrder="0"/>
    </xf>
    <xf borderId="10" fillId="0" fontId="9" numFmtId="0" xfId="0" applyBorder="1" applyFont="1"/>
    <xf borderId="10" fillId="3" fontId="10" numFmtId="0" xfId="0" applyAlignment="1" applyBorder="1" applyFont="1">
      <alignment readingOrder="0"/>
    </xf>
    <xf borderId="11" fillId="0" fontId="9" numFmtId="0" xfId="0" applyBorder="1" applyFont="1"/>
    <xf borderId="0" fillId="0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right" readingOrder="0"/>
    </xf>
    <xf borderId="0" fillId="4" fontId="6" numFmtId="0" xfId="0" applyAlignment="1" applyFill="1" applyFont="1">
      <alignment horizontal="left" readingOrder="0"/>
    </xf>
    <xf borderId="0" fillId="5" fontId="16" numFmtId="0" xfId="0" applyAlignment="1" applyFill="1" applyFont="1">
      <alignment horizontal="center"/>
    </xf>
    <xf borderId="4" fillId="5" fontId="16" numFmtId="0" xfId="0" applyAlignment="1" applyBorder="1" applyFont="1">
      <alignment horizontal="center"/>
    </xf>
    <xf borderId="5" fillId="5" fontId="16" numFmtId="0" xfId="0" applyAlignment="1" applyBorder="1" applyFont="1">
      <alignment horizontal="center"/>
    </xf>
    <xf borderId="12" fillId="5" fontId="16" numFmtId="0" xfId="0" applyAlignment="1" applyBorder="1" applyFont="1">
      <alignment horizontal="center"/>
    </xf>
    <xf borderId="0" fillId="4" fontId="6" numFmtId="0" xfId="0" applyAlignment="1" applyFont="1">
      <alignment horizontal="right" readingOrder="0"/>
    </xf>
    <xf borderId="1" fillId="0" fontId="6" numFmtId="164" xfId="0" applyAlignment="1" applyBorder="1" applyFont="1" applyNumberFormat="1">
      <alignment horizontal="center" readingOrder="0"/>
    </xf>
    <xf borderId="2" fillId="0" fontId="6" numFmtId="164" xfId="0" applyAlignment="1" applyBorder="1" applyFont="1" applyNumberFormat="1">
      <alignment horizontal="center" readingOrder="0"/>
    </xf>
    <xf borderId="3" fillId="0" fontId="6" numFmtId="164" xfId="0" applyAlignment="1" applyBorder="1" applyFont="1" applyNumberFormat="1">
      <alignment horizontal="center" readingOrder="0"/>
    </xf>
    <xf borderId="6" fillId="0" fontId="3" numFmtId="164" xfId="0" applyAlignment="1" applyBorder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13" fillId="0" fontId="3" numFmtId="164" xfId="0" applyAlignment="1" applyBorder="1" applyFont="1" applyNumberFormat="1">
      <alignment horizontal="center" readingOrder="0"/>
    </xf>
    <xf borderId="11" fillId="0" fontId="3" numFmtId="164" xfId="0" applyAlignment="1" applyBorder="1" applyFont="1" applyNumberFormat="1">
      <alignment horizontal="center"/>
    </xf>
    <xf borderId="14" fillId="0" fontId="3" numFmtId="164" xfId="0" applyAlignment="1" applyBorder="1" applyFont="1" applyNumberFormat="1">
      <alignment horizontal="center"/>
    </xf>
    <xf borderId="15" fillId="0" fontId="3" numFmtId="164" xfId="0" applyAlignment="1" applyBorder="1" applyFont="1" applyNumberFormat="1">
      <alignment horizontal="center"/>
    </xf>
    <xf borderId="0" fillId="5" fontId="16" numFmtId="0" xfId="0" applyAlignment="1" applyFont="1">
      <alignment horizontal="center" readingOrder="0"/>
    </xf>
    <xf borderId="0" fillId="5" fontId="17" numFmtId="0" xfId="0" applyAlignment="1" applyFont="1">
      <alignment horizontal="center"/>
    </xf>
    <xf borderId="1" fillId="4" fontId="6" numFmtId="164" xfId="0" applyAlignment="1" applyBorder="1" applyFont="1" applyNumberFormat="1">
      <alignment horizontal="center" readingOrder="0"/>
    </xf>
    <xf borderId="2" fillId="4" fontId="6" numFmtId="164" xfId="0" applyAlignment="1" applyBorder="1" applyFont="1" applyNumberFormat="1">
      <alignment horizontal="center" readingOrder="0"/>
    </xf>
    <xf borderId="3" fillId="4" fontId="6" numFmtId="164" xfId="0" applyAlignment="1" applyBorder="1" applyFont="1" applyNumberFormat="1">
      <alignment horizontal="center" readingOrder="0"/>
    </xf>
    <xf borderId="1" fillId="0" fontId="3" numFmtId="165" xfId="0" applyAlignment="1" applyBorder="1" applyFont="1" applyNumberFormat="1">
      <alignment readingOrder="0"/>
    </xf>
    <xf borderId="2" fillId="0" fontId="3" numFmtId="165" xfId="0" applyAlignment="1" applyBorder="1" applyFont="1" applyNumberFormat="1">
      <alignment readingOrder="0"/>
    </xf>
    <xf borderId="2" fillId="0" fontId="3" numFmtId="165" xfId="0" applyBorder="1" applyFont="1" applyNumberFormat="1"/>
    <xf borderId="3" fillId="0" fontId="3" numFmtId="165" xfId="0" applyBorder="1" applyFont="1" applyNumberFormat="1"/>
    <xf borderId="6" fillId="0" fontId="3" numFmtId="165" xfId="0" applyBorder="1" applyFont="1" applyNumberFormat="1"/>
    <xf borderId="0" fillId="0" fontId="3" numFmtId="165" xfId="0" applyFont="1" applyNumberFormat="1"/>
    <xf borderId="13" fillId="0" fontId="3" numFmtId="165" xfId="0" applyBorder="1" applyFont="1" applyNumberFormat="1"/>
    <xf borderId="6" fillId="0" fontId="3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readingOrder="0"/>
    </xf>
    <xf borderId="11" fillId="0" fontId="3" numFmtId="10" xfId="0" applyBorder="1" applyFont="1" applyNumberFormat="1"/>
    <xf borderId="14" fillId="0" fontId="3" numFmtId="10" xfId="0" applyBorder="1" applyFont="1" applyNumberFormat="1"/>
    <xf borderId="15" fillId="0" fontId="3" numFmtId="10" xfId="0" applyBorder="1" applyFont="1" applyNumberFormat="1"/>
    <xf borderId="0" fillId="2" fontId="12" numFmtId="0" xfId="0" applyAlignment="1" applyFont="1">
      <alignment horizontal="left"/>
    </xf>
    <xf borderId="0" fillId="0" fontId="18" numFmtId="0" xfId="0" applyAlignment="1" applyFont="1">
      <alignment horizontal="center" readingOrder="0"/>
    </xf>
    <xf borderId="1" fillId="0" fontId="19" numFmtId="0" xfId="0" applyAlignment="1" applyBorder="1" applyFont="1">
      <alignment horizontal="center" readingOrder="0" vertical="center"/>
    </xf>
    <xf borderId="0" fillId="0" fontId="19" numFmtId="0" xfId="0" applyAlignment="1" applyFont="1">
      <alignment horizontal="center"/>
    </xf>
    <xf borderId="9" fillId="0" fontId="19" numFmtId="0" xfId="0" applyAlignment="1" applyBorder="1" applyFont="1">
      <alignment horizontal="center" readingOrder="0" vertical="center"/>
    </xf>
    <xf borderId="7" fillId="0" fontId="19" numFmtId="0" xfId="0" applyAlignment="1" applyBorder="1" applyFont="1">
      <alignment horizontal="center" readingOrder="0"/>
    </xf>
    <xf borderId="7" fillId="0" fontId="19" numFmtId="164" xfId="0" applyAlignment="1" applyBorder="1" applyFont="1" applyNumberFormat="1">
      <alignment horizontal="center" readingOrder="0"/>
    </xf>
    <xf borderId="0" fillId="0" fontId="11" numFmtId="164" xfId="0" applyAlignment="1" applyFont="1" applyNumberFormat="1">
      <alignment horizontal="center"/>
    </xf>
    <xf borderId="8" fillId="6" fontId="19" numFmtId="0" xfId="0" applyAlignment="1" applyBorder="1" applyFill="1" applyFont="1">
      <alignment horizontal="center" readingOrder="0" vertical="center"/>
    </xf>
    <xf borderId="0" fillId="2" fontId="20" numFmtId="164" xfId="0" applyAlignment="1" applyFont="1" applyNumberFormat="1">
      <alignment readingOrder="0"/>
    </xf>
    <xf borderId="8" fillId="6" fontId="19" numFmtId="0" xfId="0" applyBorder="1" applyFont="1"/>
    <xf borderId="0" fillId="0" fontId="19" numFmtId="0" xfId="0" applyAlignment="1" applyFont="1">
      <alignment horizontal="center" readingOrder="0"/>
    </xf>
    <xf borderId="10" fillId="6" fontId="19" numFmtId="0" xfId="0" applyAlignment="1" applyBorder="1" applyFont="1">
      <alignment horizontal="center" readingOrder="0" vertical="center"/>
    </xf>
    <xf borderId="7" fillId="0" fontId="19" numFmtId="0" xfId="0" applyAlignment="1" applyBorder="1" applyFont="1">
      <alignment horizontal="center" readingOrder="0" vertical="center"/>
    </xf>
    <xf borderId="7" fillId="0" fontId="19" numFmtId="164" xfId="0" applyAlignment="1" applyBorder="1" applyFont="1" applyNumberFormat="1">
      <alignment horizontal="center"/>
    </xf>
    <xf borderId="0" fillId="0" fontId="19" numFmtId="0" xfId="0" applyAlignment="1" applyFont="1">
      <alignment horizontal="center" readingOrder="0" vertical="center"/>
    </xf>
    <xf borderId="0" fillId="0" fontId="11" numFmtId="164" xfId="0" applyAlignment="1" applyFont="1" applyNumberFormat="1">
      <alignment horizontal="center" readingOrder="0"/>
    </xf>
    <xf borderId="9" fillId="7" fontId="19" numFmtId="0" xfId="0" applyAlignment="1" applyBorder="1" applyFill="1" applyFont="1">
      <alignment horizontal="center" readingOrder="0" vertical="center"/>
    </xf>
    <xf borderId="7" fillId="7" fontId="19" numFmtId="0" xfId="0" applyAlignment="1" applyBorder="1" applyFont="1">
      <alignment horizontal="center" readingOrder="0"/>
    </xf>
    <xf borderId="7" fillId="7" fontId="19" numFmtId="164" xfId="0" applyAlignment="1" applyBorder="1" applyFont="1" applyNumberFormat="1">
      <alignment horizontal="center" readingOrder="0"/>
    </xf>
    <xf borderId="8" fillId="7" fontId="19" numFmtId="0" xfId="0" applyAlignment="1" applyBorder="1" applyFont="1">
      <alignment horizontal="center" readingOrder="0" vertical="center"/>
    </xf>
    <xf borderId="8" fillId="7" fontId="19" numFmtId="0" xfId="0" applyAlignment="1" applyBorder="1" applyFont="1">
      <alignment horizontal="center"/>
    </xf>
    <xf borderId="10" fillId="7" fontId="19" numFmtId="0" xfId="0" applyAlignment="1" applyBorder="1" applyFont="1">
      <alignment horizontal="center" readingOrder="0" vertical="center"/>
    </xf>
    <xf borderId="7" fillId="7" fontId="19" numFmtId="0" xfId="0" applyAlignment="1" applyBorder="1" applyFont="1">
      <alignment horizontal="center" readingOrder="0" vertical="center"/>
    </xf>
    <xf borderId="7" fillId="7" fontId="19" numFmtId="164" xfId="0" applyAlignment="1" applyBorder="1" applyFont="1" applyNumberFormat="1">
      <alignment horizontal="center"/>
    </xf>
    <xf borderId="0" fillId="0" fontId="19" numFmtId="49" xfId="0" applyAlignment="1" applyFont="1" applyNumberFormat="1">
      <alignment horizontal="center" readingOrder="0"/>
    </xf>
    <xf borderId="0" fillId="0" fontId="19" numFmtId="166" xfId="0" applyAlignment="1" applyFont="1" applyNumberFormat="1">
      <alignment horizontal="center" readingOrder="0"/>
    </xf>
    <xf borderId="0" fillId="0" fontId="20" numFmtId="164" xfId="0" applyAlignment="1" applyFont="1" applyNumberFormat="1">
      <alignment readingOrder="0"/>
    </xf>
    <xf borderId="0" fillId="0" fontId="21" numFmtId="166" xfId="0" applyAlignment="1" applyFont="1" applyNumberFormat="1">
      <alignment horizontal="center"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horizontal="center" readingOrder="0"/>
    </xf>
    <xf borderId="0" fillId="0" fontId="24" numFmtId="0" xfId="0" applyAlignment="1" applyFont="1">
      <alignment horizontal="center" readingOrder="0"/>
    </xf>
    <xf borderId="0" fillId="0" fontId="25" numFmtId="0" xfId="0" applyAlignment="1" applyFont="1">
      <alignment horizontal="center"/>
    </xf>
    <xf borderId="0" fillId="0" fontId="22" numFmtId="0" xfId="0" applyFont="1"/>
    <xf borderId="0" fillId="0" fontId="25" numFmtId="0" xfId="0" applyAlignment="1" applyFont="1">
      <alignment horizontal="center" readingOrder="0"/>
    </xf>
    <xf borderId="0" fillId="0" fontId="26" numFmtId="0" xfId="0" applyAlignment="1" applyFont="1">
      <alignment horizontal="right" readingOrder="0"/>
    </xf>
    <xf borderId="0" fillId="0" fontId="27" numFmtId="0" xfId="0" applyAlignment="1" applyFont="1">
      <alignment horizontal="center"/>
    </xf>
    <xf borderId="0" fillId="0" fontId="22" numFmtId="0" xfId="0" applyAlignment="1" applyFont="1">
      <alignment horizontal="left"/>
    </xf>
    <xf borderId="0" fillId="0" fontId="22" numFmtId="0" xfId="0" applyAlignment="1" applyFont="1">
      <alignment horizontal="left" readingOrder="0"/>
    </xf>
    <xf borderId="0" fillId="0" fontId="24" numFmtId="0" xfId="0" applyAlignment="1" applyFont="1">
      <alignment horizontal="right" readingOrder="0"/>
    </xf>
    <xf borderId="0" fillId="0" fontId="22" numFmtId="0" xfId="0" applyAlignment="1" applyFont="1">
      <alignment horizontal="center" readingOrder="0"/>
    </xf>
    <xf borderId="0" fillId="0" fontId="22" numFmtId="0" xfId="0" applyAlignment="1" applyFont="1">
      <alignment horizontal="left"/>
    </xf>
    <xf borderId="0" fillId="0" fontId="27" numFmtId="0" xfId="0" applyFont="1"/>
    <xf borderId="0" fillId="0" fontId="11" numFmtId="0" xfId="0" applyFont="1"/>
    <xf borderId="4" fillId="3" fontId="25" numFmtId="0" xfId="0" applyAlignment="1" applyBorder="1" applyFont="1">
      <alignment horizontal="center" readingOrder="0" vertical="center"/>
    </xf>
    <xf borderId="4" fillId="3" fontId="25" numFmtId="0" xfId="0" applyAlignment="1" applyBorder="1" applyFont="1">
      <alignment horizontal="center" readingOrder="0"/>
    </xf>
    <xf borderId="9" fillId="3" fontId="26" numFmtId="165" xfId="0" applyAlignment="1" applyBorder="1" applyFont="1" applyNumberFormat="1">
      <alignment horizontal="center" readingOrder="0" vertical="center"/>
    </xf>
    <xf borderId="7" fillId="0" fontId="26" numFmtId="165" xfId="0" applyAlignment="1" applyBorder="1" applyFont="1" applyNumberFormat="1">
      <alignment horizontal="right" readingOrder="0" vertical="bottom"/>
    </xf>
    <xf borderId="7" fillId="0" fontId="24" numFmtId="0" xfId="0" applyAlignment="1" applyBorder="1" applyFont="1">
      <alignment readingOrder="0"/>
    </xf>
    <xf borderId="9" fillId="3" fontId="25" numFmtId="0" xfId="0" applyAlignment="1" applyBorder="1" applyFont="1">
      <alignment horizontal="center" readingOrder="0" vertical="center"/>
    </xf>
    <xf borderId="4" fillId="3" fontId="23" numFmtId="0" xfId="0" applyAlignment="1" applyBorder="1" applyFont="1">
      <alignment horizontal="center" readingOrder="0"/>
    </xf>
    <xf borderId="8" fillId="0" fontId="7" numFmtId="0" xfId="0" applyBorder="1" applyFont="1"/>
    <xf borderId="7" fillId="0" fontId="28" numFmtId="0" xfId="0" applyAlignment="1" applyBorder="1" applyFont="1">
      <alignment horizontal="right" readingOrder="0"/>
    </xf>
    <xf borderId="7" fillId="0" fontId="22" numFmtId="0" xfId="0" applyAlignment="1" applyBorder="1" applyFont="1">
      <alignment readingOrder="0"/>
    </xf>
    <xf borderId="7" fillId="0" fontId="22" numFmtId="0" xfId="0" applyAlignment="1" applyBorder="1" applyFont="1">
      <alignment horizontal="left" readingOrder="0"/>
    </xf>
    <xf borderId="7" fillId="0" fontId="22" numFmtId="0" xfId="0" applyBorder="1" applyFont="1"/>
    <xf borderId="7" fillId="0" fontId="28" numFmtId="0" xfId="0" applyAlignment="1" applyBorder="1" applyFont="1">
      <alignment horizontal="right"/>
    </xf>
    <xf borderId="7" fillId="0" fontId="28" numFmtId="0" xfId="0" applyBorder="1" applyFont="1"/>
    <xf borderId="7" fillId="0" fontId="22" numFmtId="0" xfId="0" applyAlignment="1" applyBorder="1" applyFont="1">
      <alignment horizontal="left"/>
    </xf>
    <xf borderId="4" fillId="3" fontId="25" numFmtId="0" xfId="0" applyAlignment="1" applyBorder="1" applyFont="1">
      <alignment horizontal="center"/>
    </xf>
    <xf borderId="4" fillId="3" fontId="24" numFmtId="0" xfId="0" applyAlignment="1" applyBorder="1" applyFont="1">
      <alignment horizontal="center"/>
    </xf>
    <xf borderId="0" fillId="0" fontId="22" numFmtId="0" xfId="0" applyAlignment="1" applyFont="1">
      <alignment readingOrder="0"/>
    </xf>
    <xf borderId="7" fillId="0" fontId="11" numFmtId="0" xfId="0" applyBorder="1" applyFont="1"/>
    <xf borderId="7" fillId="0" fontId="11" numFmtId="0" xfId="0" applyAlignment="1" applyBorder="1" applyFont="1">
      <alignment horizontal="right"/>
    </xf>
    <xf borderId="7" fillId="0" fontId="11" numFmtId="0" xfId="0" applyAlignment="1" applyBorder="1" applyFont="1">
      <alignment horizontal="left"/>
    </xf>
    <xf borderId="7" fillId="0" fontId="22" numFmtId="0" xfId="0" applyAlignment="1" applyBorder="1" applyFont="1">
      <alignment horizontal="right"/>
    </xf>
    <xf borderId="10" fillId="0" fontId="7" numFmtId="0" xfId="0" applyBorder="1" applyFont="1"/>
    <xf borderId="4" fillId="0" fontId="11" numFmtId="0" xfId="0" applyAlignment="1" applyBorder="1" applyFont="1">
      <alignment horizontal="center" readingOrder="0"/>
    </xf>
    <xf borderId="0" fillId="0" fontId="11" numFmtId="0" xfId="0" applyAlignment="1" applyFont="1">
      <alignment horizontal="center" readingOrder="0"/>
    </xf>
    <xf borderId="7" fillId="8" fontId="29" numFmtId="0" xfId="0" applyAlignment="1" applyBorder="1" applyFill="1" applyFont="1">
      <alignment horizontal="center" readingOrder="0"/>
    </xf>
    <xf borderId="9" fillId="9" fontId="29" numFmtId="0" xfId="0" applyAlignment="1" applyBorder="1" applyFill="1" applyFont="1">
      <alignment horizontal="center" readingOrder="0"/>
    </xf>
    <xf borderId="3" fillId="9" fontId="29" numFmtId="0" xfId="0" applyAlignment="1" applyBorder="1" applyFont="1">
      <alignment horizontal="center" readingOrder="0"/>
    </xf>
    <xf borderId="1" fillId="9" fontId="29" numFmtId="0" xfId="0" applyAlignment="1" applyBorder="1" applyFont="1">
      <alignment horizontal="center" readingOrder="0"/>
    </xf>
    <xf borderId="7" fillId="9" fontId="29" numFmtId="0" xfId="0" applyAlignment="1" applyBorder="1" applyFont="1">
      <alignment horizontal="center" readingOrder="0"/>
    </xf>
    <xf borderId="0" fillId="0" fontId="29" numFmtId="0" xfId="0" applyAlignment="1" applyFont="1">
      <alignment horizontal="center" readingOrder="0"/>
    </xf>
    <xf borderId="9" fillId="8" fontId="29" numFmtId="0" xfId="0" applyAlignment="1" applyBorder="1" applyFont="1">
      <alignment horizontal="center" readingOrder="0" textRotation="0" vertical="center"/>
    </xf>
    <xf borderId="1" fillId="0" fontId="30" numFmtId="0" xfId="0" applyAlignment="1" applyBorder="1" applyFont="1">
      <alignment horizontal="center"/>
    </xf>
    <xf borderId="0" fillId="0" fontId="11" numFmtId="166" xfId="0" applyFont="1" applyNumberFormat="1"/>
    <xf borderId="0" fillId="0" fontId="11" numFmtId="0" xfId="0" applyFont="1"/>
    <xf borderId="0" fillId="0" fontId="11" numFmtId="164" xfId="0" applyAlignment="1" applyFont="1" applyNumberFormat="1">
      <alignment horizontal="right"/>
    </xf>
    <xf borderId="2" fillId="0" fontId="11" numFmtId="0" xfId="0" applyAlignment="1" applyBorder="1" applyFont="1">
      <alignment horizontal="center" readingOrder="0"/>
    </xf>
    <xf borderId="13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11" numFmtId="164" xfId="0" applyAlignment="1" applyFont="1" applyNumberFormat="1">
      <alignment readingOrder="0"/>
    </xf>
    <xf borderId="0" fillId="0" fontId="29" numFmtId="0" xfId="0" applyAlignment="1" applyFont="1">
      <alignment horizontal="right" readingOrder="0"/>
    </xf>
    <xf borderId="8" fillId="8" fontId="29" numFmtId="0" xfId="0" applyAlignment="1" applyBorder="1" applyFont="1">
      <alignment horizontal="center" readingOrder="0" textRotation="0" vertical="center"/>
    </xf>
    <xf borderId="6" fillId="0" fontId="30" numFmtId="0" xfId="0" applyAlignment="1" applyBorder="1" applyFont="1">
      <alignment horizontal="center" readingOrder="0"/>
    </xf>
    <xf borderId="0" fillId="0" fontId="11" numFmtId="166" xfId="0" applyFont="1" applyNumberFormat="1"/>
    <xf borderId="0" fillId="0" fontId="11" numFmtId="0" xfId="0" applyFont="1"/>
    <xf borderId="0" fillId="0" fontId="11" numFmtId="164" xfId="0" applyAlignment="1" applyFont="1" applyNumberFormat="1">
      <alignment horizontal="right" readingOrder="0"/>
    </xf>
    <xf borderId="0" fillId="0" fontId="11" numFmtId="0" xfId="0" applyAlignment="1" applyFont="1">
      <alignment horizontal="center" readingOrder="0"/>
    </xf>
    <xf borderId="0" fillId="0" fontId="31" numFmtId="167" xfId="0" applyAlignment="1" applyFont="1" applyNumberFormat="1">
      <alignment horizontal="right" vertical="bottom"/>
    </xf>
    <xf borderId="0" fillId="0" fontId="31" numFmtId="0" xfId="0" applyAlignment="1" applyFont="1">
      <alignment vertical="bottom"/>
    </xf>
    <xf borderId="0" fillId="0" fontId="31" numFmtId="164" xfId="0" applyAlignment="1" applyFont="1" applyNumberFormat="1">
      <alignment horizontal="right" vertical="bottom"/>
    </xf>
    <xf borderId="0" fillId="0" fontId="31" numFmtId="164" xfId="0" applyAlignment="1" applyFont="1" applyNumberFormat="1">
      <alignment vertical="bottom"/>
    </xf>
    <xf borderId="0" fillId="0" fontId="31" numFmtId="0" xfId="0" applyAlignment="1" applyFont="1">
      <alignment vertical="bottom"/>
    </xf>
    <xf borderId="0" fillId="0" fontId="11" numFmtId="0" xfId="0" applyAlignment="1" applyFont="1">
      <alignment horizontal="right" readingOrder="0"/>
    </xf>
    <xf borderId="0" fillId="0" fontId="11" numFmtId="164" xfId="0" applyAlignment="1" applyFont="1" applyNumberFormat="1">
      <alignment horizontal="right"/>
    </xf>
    <xf borderId="0" fillId="0" fontId="11" numFmtId="166" xfId="0" applyAlignment="1" applyFont="1" applyNumberFormat="1">
      <alignment readingOrder="0"/>
    </xf>
    <xf borderId="13" fillId="0" fontId="11" numFmtId="0" xfId="0" applyAlignment="1" applyBorder="1" applyFont="1">
      <alignment horizontal="center" readingOrder="0"/>
    </xf>
    <xf borderId="13" fillId="0" fontId="11" numFmtId="0" xfId="0" applyAlignment="1" applyBorder="1" applyFont="1">
      <alignment horizontal="center"/>
    </xf>
    <xf borderId="0" fillId="0" fontId="32" numFmtId="0" xfId="0" applyAlignment="1" applyFont="1">
      <alignment horizontal="center" readingOrder="0" vertical="center"/>
    </xf>
    <xf borderId="0" fillId="0" fontId="11" numFmtId="0" xfId="0" applyAlignment="1" applyFont="1">
      <alignment readingOrder="0"/>
    </xf>
    <xf borderId="13" fillId="0" fontId="11" numFmtId="0" xfId="0" applyAlignment="1" applyBorder="1" applyFont="1">
      <alignment horizontal="center" readingOrder="0"/>
    </xf>
    <xf borderId="0" fillId="0" fontId="11" numFmtId="164" xfId="0" applyFont="1" applyNumberFormat="1"/>
    <xf borderId="0" fillId="0" fontId="30" numFmtId="166" xfId="0" applyAlignment="1" applyFont="1" applyNumberFormat="1">
      <alignment readingOrder="0"/>
    </xf>
    <xf borderId="0" fillId="0" fontId="30" numFmtId="0" xfId="0" applyAlignment="1" applyFont="1">
      <alignment readingOrder="0"/>
    </xf>
    <xf borderId="0" fillId="0" fontId="30" numFmtId="164" xfId="0" applyAlignment="1" applyFont="1" applyNumberFormat="1">
      <alignment horizontal="right" readingOrder="0"/>
    </xf>
    <xf borderId="0" fillId="0" fontId="11" numFmtId="167" xfId="0" applyAlignment="1" applyFont="1" applyNumberFormat="1">
      <alignment readingOrder="0"/>
    </xf>
    <xf borderId="0" fillId="0" fontId="11" numFmtId="168" xfId="0" applyAlignment="1" applyFont="1" applyNumberFormat="1">
      <alignment readingOrder="0"/>
    </xf>
    <xf borderId="10" fillId="8" fontId="29" numFmtId="0" xfId="0" applyAlignment="1" applyBorder="1" applyFont="1">
      <alignment horizontal="center" readingOrder="0" textRotation="0" vertical="center"/>
    </xf>
    <xf borderId="15" fillId="0" fontId="11" numFmtId="0" xfId="0" applyAlignment="1" applyBorder="1" applyFont="1">
      <alignment horizontal="center" readingOrder="0"/>
    </xf>
    <xf borderId="0" fillId="0" fontId="11" numFmtId="168" xfId="0" applyAlignment="1" applyFont="1" applyNumberFormat="1">
      <alignment horizontal="right" readingOrder="0"/>
    </xf>
    <xf borderId="2" fillId="0" fontId="29" numFmtId="0" xfId="0" applyAlignment="1" applyBorder="1" applyFont="1">
      <alignment horizontal="right" readingOrder="0"/>
    </xf>
    <xf borderId="1" fillId="0" fontId="30" numFmtId="0" xfId="0" applyAlignment="1" applyBorder="1" applyFont="1">
      <alignment horizontal="center" readingOrder="0"/>
    </xf>
    <xf borderId="2" fillId="0" fontId="30" numFmtId="166" xfId="0" applyAlignment="1" applyBorder="1" applyFont="1" applyNumberFormat="1">
      <alignment readingOrder="0"/>
    </xf>
    <xf borderId="2" fillId="0" fontId="30" numFmtId="0" xfId="0" applyAlignment="1" applyBorder="1" applyFont="1">
      <alignment readingOrder="0"/>
    </xf>
    <xf borderId="2" fillId="0" fontId="30" numFmtId="164" xfId="0" applyAlignment="1" applyBorder="1" applyFont="1" applyNumberFormat="1">
      <alignment horizontal="right" readingOrder="0"/>
    </xf>
    <xf borderId="3" fillId="0" fontId="11" numFmtId="0" xfId="0" applyAlignment="1" applyBorder="1" applyFont="1">
      <alignment horizontal="center" readingOrder="0"/>
    </xf>
    <xf borderId="0" fillId="0" fontId="11" numFmtId="168" xfId="0" applyAlignment="1" applyFont="1" applyNumberFormat="1">
      <alignment horizontal="center" readingOrder="0"/>
    </xf>
    <xf borderId="11" fillId="0" fontId="30" numFmtId="0" xfId="0" applyAlignment="1" applyBorder="1" applyFont="1">
      <alignment horizontal="center" readingOrder="0"/>
    </xf>
    <xf borderId="14" fillId="0" fontId="30" numFmtId="166" xfId="0" applyAlignment="1" applyBorder="1" applyFont="1" applyNumberFormat="1">
      <alignment readingOrder="0"/>
    </xf>
    <xf borderId="14" fillId="0" fontId="30" numFmtId="0" xfId="0" applyAlignment="1" applyBorder="1" applyFont="1">
      <alignment readingOrder="0"/>
    </xf>
    <xf borderId="14" fillId="0" fontId="30" numFmtId="164" xfId="0" applyAlignment="1" applyBorder="1" applyFont="1" applyNumberFormat="1">
      <alignment horizontal="right" readingOrder="0"/>
    </xf>
    <xf borderId="14" fillId="0" fontId="11" numFmtId="0" xfId="0" applyAlignment="1" applyBorder="1" applyFont="1">
      <alignment horizontal="center" readingOrder="0"/>
    </xf>
    <xf borderId="0" fillId="0" fontId="30" numFmtId="0" xfId="0" applyAlignment="1" applyFont="1">
      <alignment horizontal="center" readingOrder="0"/>
    </xf>
    <xf borderId="0" fillId="0" fontId="30" numFmtId="169" xfId="0" applyAlignment="1" applyFont="1" applyNumberFormat="1">
      <alignment readingOrder="0"/>
    </xf>
    <xf borderId="0" fillId="0" fontId="30" numFmtId="0" xfId="0" applyAlignment="1" applyFont="1">
      <alignment readingOrder="0"/>
    </xf>
    <xf borderId="0" fillId="0" fontId="30" numFmtId="164" xfId="0" applyAlignment="1" applyFont="1" applyNumberFormat="1">
      <alignment horizontal="right" readingOrder="0"/>
    </xf>
    <xf borderId="2" fillId="0" fontId="30" numFmtId="164" xfId="0" applyAlignment="1" applyBorder="1" applyFont="1" applyNumberFormat="1">
      <alignment horizontal="right" readingOrder="0"/>
    </xf>
    <xf borderId="0" fillId="0" fontId="11" numFmtId="170" xfId="0" applyAlignment="1" applyFont="1" applyNumberFormat="1">
      <alignment horizontal="right" readingOrder="0"/>
    </xf>
    <xf borderId="0" fillId="0" fontId="30" numFmtId="164" xfId="0" applyAlignment="1" applyFont="1" applyNumberFormat="1">
      <alignment horizontal="right" readingOrder="0"/>
    </xf>
    <xf borderId="0" fillId="0" fontId="11" numFmtId="0" xfId="0" applyAlignment="1" applyFont="1">
      <alignment horizontal="right"/>
    </xf>
    <xf borderId="2" fillId="0" fontId="30" numFmtId="0" xfId="0" applyAlignment="1" applyBorder="1" applyFont="1">
      <alignment horizontal="center" readingOrder="0"/>
    </xf>
    <xf borderId="0" fillId="0" fontId="30" numFmtId="0" xfId="0" applyAlignment="1" applyFont="1">
      <alignment horizontal="center" readingOrder="0"/>
    </xf>
    <xf borderId="14" fillId="0" fontId="30" numFmtId="0" xfId="0" applyAlignment="1" applyBorder="1" applyFont="1">
      <alignment horizontal="center" readingOrder="0"/>
    </xf>
    <xf borderId="0" fillId="0" fontId="31" numFmtId="0" xfId="0" applyAlignment="1" applyFont="1">
      <alignment horizontal="center" readingOrder="0" vertical="bottom"/>
    </xf>
    <xf borderId="7" fillId="9" fontId="29" numFmtId="0" xfId="0" applyAlignment="1" applyBorder="1" applyFont="1">
      <alignment horizontal="center" readingOrder="0"/>
    </xf>
    <xf borderId="7" fillId="0" fontId="33" numFmtId="0" xfId="0" applyAlignment="1" applyBorder="1" applyFont="1">
      <alignment horizontal="center" readingOrder="0" vertical="bottom"/>
    </xf>
    <xf borderId="7" fillId="0" fontId="33" numFmtId="3" xfId="0" applyAlignment="1" applyBorder="1" applyFont="1" applyNumberFormat="1">
      <alignment horizontal="center" readingOrder="0" vertical="bottom"/>
    </xf>
    <xf borderId="7" fillId="0" fontId="33" numFmtId="164" xfId="0" applyAlignment="1" applyBorder="1" applyFont="1" applyNumberFormat="1">
      <alignment horizontal="center" readingOrder="0" vertical="bottom"/>
    </xf>
    <xf borderId="7" fillId="0" fontId="34" numFmtId="0" xfId="0" applyAlignment="1" applyBorder="1" applyFont="1">
      <alignment horizontal="center" readingOrder="0"/>
    </xf>
    <xf borderId="9" fillId="9" fontId="29" numFmtId="0" xfId="0" applyAlignment="1" applyBorder="1" applyFont="1">
      <alignment horizontal="center" readingOrder="0" textRotation="0" vertical="center"/>
    </xf>
    <xf borderId="0" fillId="0" fontId="31" numFmtId="171" xfId="0" applyAlignment="1" applyFont="1" applyNumberFormat="1">
      <alignment horizontal="right" vertical="bottom"/>
    </xf>
    <xf borderId="3" fillId="2" fontId="31" numFmtId="0" xfId="0" applyAlignment="1" applyBorder="1" applyFont="1">
      <alignment vertical="bottom"/>
    </xf>
    <xf borderId="0" fillId="0" fontId="11" numFmtId="172" xfId="0" applyAlignment="1" applyFont="1" applyNumberFormat="1">
      <alignment horizontal="center" readingOrder="0"/>
    </xf>
    <xf borderId="9" fillId="10" fontId="29" numFmtId="0" xfId="0" applyAlignment="1" applyBorder="1" applyFill="1" applyFont="1">
      <alignment horizontal="center" readingOrder="0" textRotation="0" vertical="center"/>
    </xf>
    <xf borderId="0" fillId="0" fontId="11" numFmtId="3" xfId="0" applyAlignment="1" applyFont="1" applyNumberFormat="1">
      <alignment horizontal="right" readingOrder="0"/>
    </xf>
    <xf borderId="0" fillId="0" fontId="11" numFmtId="166" xfId="0" applyAlignment="1" applyFont="1" applyNumberFormat="1">
      <alignment horizontal="right" readingOrder="0"/>
    </xf>
    <xf borderId="0" fillId="0" fontId="11" numFmtId="0" xfId="0" applyAlignment="1" applyFont="1">
      <alignment readingOrder="0"/>
    </xf>
    <xf borderId="0" fillId="0" fontId="11" numFmtId="164" xfId="0" applyAlignment="1" applyFont="1" applyNumberFormat="1">
      <alignment horizontal="center" readingOrder="0"/>
    </xf>
    <xf borderId="0" fillId="0" fontId="11" numFmtId="3" xfId="0" applyAlignment="1" applyFont="1" applyNumberFormat="1">
      <alignment horizontal="center" readingOrder="0"/>
    </xf>
    <xf borderId="0" fillId="11" fontId="11" numFmtId="164" xfId="0" applyAlignment="1" applyFill="1" applyFont="1" applyNumberFormat="1">
      <alignment horizontal="center" readingOrder="0"/>
    </xf>
    <xf borderId="8" fillId="9" fontId="29" numFmtId="0" xfId="0" applyAlignment="1" applyBorder="1" applyFont="1">
      <alignment horizontal="center" readingOrder="0" textRotation="0" vertical="center"/>
    </xf>
    <xf borderId="13" fillId="12" fontId="31" numFmtId="0" xfId="0" applyAlignment="1" applyBorder="1" applyFill="1" applyFont="1">
      <alignment vertical="bottom"/>
    </xf>
    <xf borderId="0" fillId="0" fontId="31" numFmtId="167" xfId="0" applyAlignment="1" applyFont="1" applyNumberFormat="1">
      <alignment horizontal="right" readingOrder="0" vertical="bottom"/>
    </xf>
    <xf borderId="8" fillId="10" fontId="29" numFmtId="0" xfId="0" applyAlignment="1" applyBorder="1" applyFont="1">
      <alignment horizontal="center" readingOrder="0" textRotation="0" vertical="center"/>
    </xf>
    <xf borderId="0" fillId="0" fontId="31" numFmtId="3" xfId="0" applyAlignment="1" applyFont="1" applyNumberFormat="1">
      <alignment horizontal="right" readingOrder="0" vertical="bottom"/>
    </xf>
    <xf borderId="0" fillId="0" fontId="31" numFmtId="166" xfId="0" applyAlignment="1" applyFont="1" applyNumberFormat="1">
      <alignment horizontal="right" readingOrder="0" vertical="bottom"/>
    </xf>
    <xf borderId="0" fillId="0" fontId="31" numFmtId="0" xfId="0" applyAlignment="1" applyFont="1">
      <alignment readingOrder="0" vertical="bottom"/>
    </xf>
    <xf borderId="0" fillId="0" fontId="31" numFmtId="164" xfId="0" applyAlignment="1" applyFont="1" applyNumberFormat="1">
      <alignment horizontal="center" readingOrder="0" vertical="bottom"/>
    </xf>
    <xf borderId="0" fillId="0" fontId="31" numFmtId="3" xfId="0" applyAlignment="1" applyFont="1" applyNumberFormat="1">
      <alignment horizontal="center" readingOrder="0" vertical="bottom"/>
    </xf>
    <xf borderId="13" fillId="2" fontId="31" numFmtId="0" xfId="0" applyAlignment="1" applyBorder="1" applyFont="1">
      <alignment vertical="bottom"/>
    </xf>
    <xf borderId="0" fillId="0" fontId="35" numFmtId="0" xfId="0" applyAlignment="1" applyFont="1">
      <alignment horizontal="center" readingOrder="0" vertical="center"/>
    </xf>
    <xf borderId="0" fillId="0" fontId="31" numFmtId="166" xfId="0" applyAlignment="1" applyFont="1" applyNumberFormat="1">
      <alignment horizontal="right" vertical="bottom"/>
    </xf>
    <xf borderId="0" fillId="0" fontId="31" numFmtId="0" xfId="0" applyAlignment="1" applyFont="1">
      <alignment vertical="bottom"/>
    </xf>
    <xf borderId="0" fillId="0" fontId="31" numFmtId="164" xfId="0" applyAlignment="1" applyFont="1" applyNumberFormat="1">
      <alignment horizontal="center" vertical="bottom"/>
    </xf>
    <xf borderId="0" fillId="0" fontId="31" numFmtId="3" xfId="0" applyAlignment="1" applyFont="1" applyNumberFormat="1">
      <alignment horizontal="center" vertical="bottom"/>
    </xf>
    <xf borderId="0" fillId="0" fontId="36" numFmtId="0" xfId="0" applyAlignment="1" applyFont="1">
      <alignment readingOrder="0"/>
    </xf>
    <xf borderId="0" fillId="0" fontId="11" numFmtId="170" xfId="0" applyAlignment="1" applyFont="1" applyNumberFormat="1">
      <alignment readingOrder="0"/>
    </xf>
    <xf borderId="0" fillId="0" fontId="11" numFmtId="166" xfId="0" applyAlignment="1" applyFont="1" applyNumberFormat="1">
      <alignment horizontal="right"/>
    </xf>
    <xf borderId="0" fillId="0" fontId="11" numFmtId="164" xfId="0" applyAlignment="1" applyFont="1" applyNumberFormat="1">
      <alignment horizontal="center"/>
    </xf>
    <xf borderId="0" fillId="0" fontId="11" numFmtId="3" xfId="0" applyAlignment="1" applyFont="1" applyNumberFormat="1">
      <alignment horizontal="center"/>
    </xf>
    <xf borderId="0" fillId="0" fontId="30" numFmtId="171" xfId="0" applyAlignment="1" applyFont="1" applyNumberFormat="1">
      <alignment horizontal="center" readingOrder="0"/>
    </xf>
    <xf borderId="13" fillId="12" fontId="31" numFmtId="0" xfId="0" applyAlignment="1" applyBorder="1" applyFont="1">
      <alignment readingOrder="0" vertical="bottom"/>
    </xf>
    <xf borderId="0" fillId="0" fontId="11" numFmtId="167" xfId="0" applyAlignment="1" applyFont="1" applyNumberFormat="1">
      <alignment readingOrder="0"/>
    </xf>
    <xf borderId="0" fillId="0" fontId="11" numFmtId="167" xfId="0" applyFont="1" applyNumberFormat="1"/>
    <xf borderId="10" fillId="9" fontId="29" numFmtId="0" xfId="0" applyAlignment="1" applyBorder="1" applyFont="1">
      <alignment horizontal="center" readingOrder="0" textRotation="0" vertical="center"/>
    </xf>
    <xf borderId="15" fillId="2" fontId="31" numFmtId="0" xfId="0" applyAlignment="1" applyBorder="1" applyFont="1">
      <alignment vertical="bottom"/>
    </xf>
    <xf borderId="10" fillId="10" fontId="29" numFmtId="0" xfId="0" applyAlignment="1" applyBorder="1" applyFont="1">
      <alignment horizontal="center" readingOrder="0" textRotation="0" vertical="center"/>
    </xf>
    <xf borderId="14" fillId="0" fontId="11" numFmtId="166" xfId="0" applyAlignment="1" applyBorder="1" applyFont="1" applyNumberFormat="1">
      <alignment horizontal="right"/>
    </xf>
    <xf borderId="14" fillId="0" fontId="11" numFmtId="167" xfId="0" applyBorder="1" applyFont="1" applyNumberFormat="1"/>
    <xf borderId="14" fillId="0" fontId="11" numFmtId="164" xfId="0" applyAlignment="1" applyBorder="1" applyFont="1" applyNumberFormat="1">
      <alignment horizontal="center"/>
    </xf>
    <xf borderId="14" fillId="0" fontId="11" numFmtId="3" xfId="0" applyAlignment="1" applyBorder="1" applyFont="1" applyNumberFormat="1">
      <alignment horizontal="center"/>
    </xf>
    <xf borderId="14" fillId="11" fontId="11" numFmtId="164" xfId="0" applyAlignment="1" applyBorder="1" applyFont="1" applyNumberFormat="1">
      <alignment horizontal="center" readingOrder="0"/>
    </xf>
    <xf borderId="15" fillId="0" fontId="11" numFmtId="0" xfId="0" applyAlignment="1" applyBorder="1" applyFont="1">
      <alignment horizontal="center"/>
    </xf>
    <xf borderId="0" fillId="0" fontId="11" numFmtId="3" xfId="0" applyAlignment="1" applyFont="1" applyNumberFormat="1">
      <alignment horizontal="center"/>
    </xf>
    <xf borderId="0" fillId="0" fontId="11" numFmtId="167" xfId="0" applyFont="1" applyNumberFormat="1"/>
    <xf borderId="2" fillId="0" fontId="30" numFmtId="164" xfId="0" applyAlignment="1" applyBorder="1" applyFont="1" applyNumberFormat="1">
      <alignment horizontal="center" readingOrder="0"/>
    </xf>
    <xf borderId="2" fillId="0" fontId="11" numFmtId="3" xfId="0" applyAlignment="1" applyBorder="1" applyFont="1" applyNumberFormat="1">
      <alignment horizontal="right" readingOrder="0"/>
    </xf>
    <xf borderId="2" fillId="0" fontId="11" numFmtId="166" xfId="0" applyAlignment="1" applyBorder="1" applyFont="1" applyNumberFormat="1">
      <alignment horizontal="right" readingOrder="0"/>
    </xf>
    <xf borderId="2" fillId="0" fontId="11" numFmtId="0" xfId="0" applyAlignment="1" applyBorder="1" applyFont="1">
      <alignment readingOrder="0"/>
    </xf>
    <xf borderId="2" fillId="0" fontId="11" numFmtId="164" xfId="0" applyAlignment="1" applyBorder="1" applyFont="1" applyNumberFormat="1">
      <alignment horizontal="center" readingOrder="0"/>
    </xf>
    <xf borderId="2" fillId="0" fontId="11" numFmtId="3" xfId="0" applyAlignment="1" applyBorder="1" applyFont="1" applyNumberFormat="1">
      <alignment horizontal="center" readingOrder="0"/>
    </xf>
    <xf borderId="2" fillId="11" fontId="11" numFmtId="164" xfId="0" applyAlignment="1" applyBorder="1" applyFont="1" applyNumberFormat="1">
      <alignment horizontal="center" readingOrder="0"/>
    </xf>
    <xf borderId="0" fillId="0" fontId="30" numFmtId="164" xfId="0" applyAlignment="1" applyFont="1" applyNumberFormat="1">
      <alignment horizontal="center" readingOrder="0"/>
    </xf>
    <xf borderId="0" fillId="0" fontId="11" numFmtId="0" xfId="0" applyAlignment="1" applyFont="1">
      <alignment horizontal="center" readingOrder="0"/>
    </xf>
    <xf borderId="14" fillId="0" fontId="30" numFmtId="164" xfId="0" applyAlignment="1" applyBorder="1" applyFont="1" applyNumberFormat="1">
      <alignment horizontal="center" readingOrder="0"/>
    </xf>
    <xf borderId="14" fillId="0" fontId="31" numFmtId="3" xfId="0" applyAlignment="1" applyBorder="1" applyFont="1" applyNumberFormat="1">
      <alignment horizontal="right" readingOrder="0" vertical="bottom"/>
    </xf>
    <xf borderId="0" fillId="0" fontId="30" numFmtId="164" xfId="0" applyAlignment="1" applyFont="1" applyNumberFormat="1">
      <alignment horizontal="center" readingOrder="0"/>
    </xf>
    <xf borderId="0" fillId="0" fontId="11" numFmtId="3" xfId="0" applyFont="1" applyNumberFormat="1"/>
    <xf borderId="0" fillId="0" fontId="31" numFmtId="3" xfId="0" applyAlignment="1" applyFont="1" applyNumberFormat="1">
      <alignment horizontal="right" vertical="bottom"/>
    </xf>
    <xf borderId="0" fillId="0" fontId="30" numFmtId="164" xfId="0" applyAlignment="1" applyFont="1" applyNumberFormat="1">
      <alignment horizontal="center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1" numFmtId="3" xfId="0" applyAlignment="1" applyFont="1" applyNumberFormat="1">
      <alignment horizontal="right"/>
    </xf>
    <xf borderId="14" fillId="0" fontId="11" numFmtId="3" xfId="0" applyAlignment="1" applyBorder="1" applyFont="1" applyNumberFormat="1">
      <alignment horizontal="right"/>
    </xf>
    <xf borderId="5" fillId="0" fontId="11" numFmtId="164" xfId="0" applyBorder="1" applyFont="1" applyNumberFormat="1"/>
    <xf borderId="13" fillId="2" fontId="31" numFmtId="0" xfId="0" applyAlignment="1" applyBorder="1" applyFont="1">
      <alignment readingOrder="0" vertical="bottom"/>
    </xf>
    <xf borderId="2" fillId="0" fontId="30" numFmtId="164" xfId="0" applyAlignment="1" applyBorder="1" applyFont="1" applyNumberFormat="1">
      <alignment horizontal="center" readingOrder="0"/>
    </xf>
    <xf borderId="0" fillId="0" fontId="30" numFmtId="164" xfId="0" applyAlignment="1" applyFont="1" applyNumberFormat="1">
      <alignment horizontal="center" readingOrder="0"/>
    </xf>
    <xf borderId="7" fillId="13" fontId="29" numFmtId="0" xfId="0" applyAlignment="1" applyBorder="1" applyFill="1" applyFont="1">
      <alignment horizontal="center" readingOrder="0"/>
    </xf>
    <xf borderId="10" fillId="9" fontId="29" numFmtId="0" xfId="0" applyAlignment="1" applyBorder="1" applyFont="1">
      <alignment horizontal="center" readingOrder="0"/>
    </xf>
    <xf borderId="9" fillId="13" fontId="29" numFmtId="0" xfId="0" applyAlignment="1" applyBorder="1" applyFont="1">
      <alignment horizontal="center" readingOrder="0" textRotation="0" vertical="center"/>
    </xf>
    <xf borderId="0" fillId="0" fontId="31" numFmtId="168" xfId="0" applyAlignment="1" applyFont="1" applyNumberFormat="1">
      <alignment horizontal="right" readingOrder="0" vertical="bottom"/>
    </xf>
    <xf borderId="0" fillId="0" fontId="31" numFmtId="164" xfId="0" applyAlignment="1" applyFont="1" applyNumberFormat="1">
      <alignment readingOrder="0" vertical="bottom"/>
    </xf>
    <xf borderId="0" fillId="0" fontId="31" numFmtId="0" xfId="0" applyAlignment="1" applyFont="1">
      <alignment readingOrder="0" vertical="bottom"/>
    </xf>
    <xf borderId="0" fillId="2" fontId="37" numFmtId="0" xfId="0" applyAlignment="1" applyFont="1">
      <alignment readingOrder="0"/>
    </xf>
    <xf borderId="8" fillId="13" fontId="29" numFmtId="0" xfId="0" applyAlignment="1" applyBorder="1" applyFont="1">
      <alignment horizontal="center" readingOrder="0" textRotation="0" vertical="center"/>
    </xf>
    <xf borderId="0" fillId="0" fontId="31" numFmtId="0" xfId="0" applyAlignment="1" applyFont="1">
      <alignment horizontal="center" readingOrder="0" vertical="bottom"/>
    </xf>
    <xf borderId="13" fillId="0" fontId="31" numFmtId="0" xfId="0" applyAlignment="1" applyBorder="1" applyFont="1">
      <alignment horizontal="center" readingOrder="0" vertical="bottom"/>
    </xf>
    <xf borderId="0" fillId="0" fontId="31" numFmtId="167" xfId="0" applyAlignment="1" applyFont="1" applyNumberFormat="1">
      <alignment horizontal="center" readingOrder="0" vertical="bottom"/>
    </xf>
    <xf borderId="13" fillId="0" fontId="31" numFmtId="167" xfId="0" applyAlignment="1" applyBorder="1" applyFont="1" applyNumberFormat="1">
      <alignment horizontal="center" readingOrder="0" vertical="bottom"/>
    </xf>
    <xf borderId="0" fillId="0" fontId="11" numFmtId="0" xfId="0" applyAlignment="1" applyFont="1">
      <alignment horizontal="center" readingOrder="0"/>
    </xf>
    <xf borderId="10" fillId="13" fontId="29" numFmtId="0" xfId="0" applyAlignment="1" applyBorder="1" applyFont="1">
      <alignment horizontal="center" readingOrder="0" textRotation="0" vertical="center"/>
    </xf>
    <xf borderId="14" fillId="0" fontId="11" numFmtId="0" xfId="0" applyAlignment="1" applyBorder="1" applyFont="1">
      <alignment horizontal="center" readingOrder="0"/>
    </xf>
    <xf borderId="15" fillId="0" fontId="11" numFmtId="0" xfId="0" applyAlignment="1" applyBorder="1" applyFont="1">
      <alignment horizontal="center" readingOrder="0"/>
    </xf>
    <xf borderId="0" fillId="0" fontId="38" numFmtId="0" xfId="0" applyAlignment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0" fillId="0" fontId="9" numFmtId="166" xfId="0" applyFont="1" applyNumberFormat="1"/>
    <xf borderId="4" fillId="0" fontId="9" numFmtId="0" xfId="0" applyAlignment="1" applyBorder="1" applyFont="1">
      <alignment horizontal="center" vertical="center"/>
    </xf>
    <xf borderId="12" fillId="0" fontId="7" numFmtId="0" xfId="0" applyBorder="1" applyFont="1"/>
    <xf borderId="0" fillId="0" fontId="38" numFmtId="0" xfId="0" applyAlignment="1" applyFont="1">
      <alignment horizontal="center" readingOrder="0"/>
    </xf>
    <xf borderId="0" fillId="0" fontId="38" numFmtId="166" xfId="0" applyAlignment="1" applyFont="1" applyNumberFormat="1">
      <alignment horizontal="center" readingOrder="0"/>
    </xf>
    <xf borderId="1" fillId="14" fontId="38" numFmtId="0" xfId="0" applyAlignment="1" applyBorder="1" applyFill="1" applyFont="1">
      <alignment horizontal="right" readingOrder="0"/>
    </xf>
    <xf borderId="2" fillId="14" fontId="38" numFmtId="0" xfId="0" applyAlignment="1" applyBorder="1" applyFont="1">
      <alignment horizontal="right" readingOrder="0"/>
    </xf>
    <xf borderId="3" fillId="14" fontId="38" numFmtId="0" xfId="0" applyAlignment="1" applyBorder="1" applyFont="1">
      <alignment horizontal="right" readingOrder="0"/>
    </xf>
    <xf borderId="7" fillId="14" fontId="38" numFmtId="0" xfId="0" applyAlignment="1" applyBorder="1" applyFont="1">
      <alignment horizontal="center" readingOrder="0"/>
    </xf>
    <xf borderId="6" fillId="15" fontId="38" numFmtId="0" xfId="0" applyAlignment="1" applyBorder="1" applyFill="1" applyFont="1">
      <alignment horizontal="right" readingOrder="0"/>
    </xf>
    <xf borderId="0" fillId="15" fontId="38" numFmtId="0" xfId="0" applyAlignment="1" applyFont="1">
      <alignment horizontal="right" readingOrder="0"/>
    </xf>
    <xf borderId="13" fillId="15" fontId="38" numFmtId="0" xfId="0" applyAlignment="1" applyBorder="1" applyFont="1">
      <alignment horizontal="right" readingOrder="0"/>
    </xf>
    <xf borderId="0" fillId="15" fontId="9" numFmtId="165" xfId="0" applyFont="1" applyNumberFormat="1"/>
    <xf borderId="13" fillId="15" fontId="9" numFmtId="165" xfId="0" applyBorder="1" applyFont="1" applyNumberFormat="1"/>
    <xf borderId="7" fillId="0" fontId="33" numFmtId="166" xfId="0" applyAlignment="1" applyBorder="1" applyFont="1" applyNumberFormat="1">
      <alignment horizontal="center" readingOrder="0" vertical="bottom"/>
    </xf>
    <xf borderId="6" fillId="14" fontId="38" numFmtId="0" xfId="0" applyAlignment="1" applyBorder="1" applyFont="1">
      <alignment horizontal="right" readingOrder="0"/>
    </xf>
    <xf borderId="0" fillId="14" fontId="38" numFmtId="165" xfId="0" applyAlignment="1" applyFont="1" applyNumberFormat="1">
      <alignment horizontal="right" readingOrder="0"/>
    </xf>
    <xf borderId="13" fillId="14" fontId="38" numFmtId="0" xfId="0" applyAlignment="1" applyBorder="1" applyFont="1">
      <alignment horizontal="right" readingOrder="0"/>
    </xf>
    <xf borderId="0" fillId="16" fontId="9" numFmtId="165" xfId="0" applyFill="1" applyFont="1" applyNumberFormat="1"/>
    <xf borderId="13" fillId="16" fontId="9" numFmtId="165" xfId="0" applyBorder="1" applyFont="1" applyNumberFormat="1"/>
    <xf borderId="0" fillId="0" fontId="39" numFmtId="0" xfId="0" applyAlignment="1" applyFont="1">
      <alignment horizontal="center" readingOrder="0" vertical="bottom"/>
    </xf>
    <xf borderId="0" fillId="0" fontId="39" numFmtId="166" xfId="0" applyAlignment="1" applyFont="1" applyNumberFormat="1">
      <alignment horizontal="center" readingOrder="0" vertical="bottom"/>
    </xf>
    <xf borderId="0" fillId="0" fontId="39" numFmtId="0" xfId="0" applyAlignment="1" applyFont="1">
      <alignment horizontal="center" readingOrder="0" vertical="bottom"/>
    </xf>
    <xf borderId="0" fillId="0" fontId="39" numFmtId="165" xfId="0" applyAlignment="1" applyFont="1" applyNumberFormat="1">
      <alignment horizontal="center" readingOrder="0" vertical="bottom"/>
    </xf>
    <xf borderId="0" fillId="0" fontId="39" numFmtId="2" xfId="0" applyAlignment="1" applyFont="1" applyNumberFormat="1">
      <alignment horizontal="center" readingOrder="0" vertical="bottom"/>
    </xf>
    <xf borderId="0" fillId="0" fontId="9" numFmtId="0" xfId="0" applyAlignment="1" applyFont="1">
      <alignment horizontal="center" readingOrder="0"/>
    </xf>
    <xf borderId="13" fillId="14" fontId="38" numFmtId="0" xfId="0" applyAlignment="1" applyBorder="1" applyFont="1">
      <alignment horizontal="right"/>
    </xf>
    <xf borderId="0" fillId="2" fontId="9" numFmtId="165" xfId="0" applyFont="1" applyNumberFormat="1"/>
    <xf borderId="13" fillId="2" fontId="9" numFmtId="165" xfId="0" applyBorder="1" applyFont="1" applyNumberFormat="1"/>
    <xf borderId="0" fillId="14" fontId="38" numFmtId="0" xfId="0" applyAlignment="1" applyFont="1">
      <alignment horizontal="right" readingOrder="0"/>
    </xf>
    <xf borderId="11" fillId="14" fontId="38" numFmtId="0" xfId="0" applyAlignment="1" applyBorder="1" applyFont="1">
      <alignment horizontal="right" readingOrder="0"/>
    </xf>
    <xf borderId="14" fillId="14" fontId="38" numFmtId="0" xfId="0" applyAlignment="1" applyBorder="1" applyFont="1">
      <alignment horizontal="right" readingOrder="0"/>
    </xf>
    <xf borderId="15" fillId="14" fontId="38" numFmtId="0" xfId="0" applyAlignment="1" applyBorder="1" applyFont="1">
      <alignment horizontal="right"/>
    </xf>
    <xf borderId="14" fillId="2" fontId="9" numFmtId="165" xfId="0" applyBorder="1" applyFont="1" applyNumberFormat="1"/>
    <xf borderId="15" fillId="2" fontId="9" numFmtId="165" xfId="0" applyBorder="1" applyFont="1" applyNumberFormat="1"/>
    <xf borderId="0" fillId="16" fontId="38" numFmtId="0" xfId="0" applyAlignment="1" applyFont="1">
      <alignment horizontal="center" readingOrder="0" vertical="center"/>
    </xf>
    <xf borderId="14" fillId="16" fontId="9" numFmtId="0" xfId="0" applyBorder="1" applyFont="1"/>
    <xf borderId="15" fillId="16" fontId="9" numFmtId="0" xfId="0" applyBorder="1" applyFont="1"/>
    <xf borderId="0" fillId="14" fontId="38" numFmtId="0" xfId="0" applyAlignment="1" applyFont="1">
      <alignment horizontal="center" readingOrder="0" vertical="center"/>
    </xf>
    <xf borderId="7" fillId="17" fontId="23" numFmtId="0" xfId="0" applyAlignment="1" applyBorder="1" applyFill="1" applyFont="1">
      <alignment horizontal="right" readingOrder="0"/>
    </xf>
    <xf borderId="12" fillId="17" fontId="23" numFmtId="0" xfId="0" applyAlignment="1" applyBorder="1" applyFont="1">
      <alignment horizontal="right" readingOrder="0"/>
    </xf>
    <xf borderId="7" fillId="0" fontId="10" numFmtId="0" xfId="0" applyAlignment="1" applyBorder="1" applyFont="1">
      <alignment horizontal="center" readingOrder="0"/>
    </xf>
    <xf borderId="0" fillId="2" fontId="33" numFmtId="166" xfId="0" applyAlignment="1" applyFont="1" applyNumberFormat="1">
      <alignment horizontal="center" readingOrder="0" vertical="bottom"/>
    </xf>
    <xf borderId="0" fillId="2" fontId="33" numFmtId="0" xfId="0" applyAlignment="1" applyFont="1">
      <alignment horizontal="center" readingOrder="0" vertical="bottom"/>
    </xf>
    <xf borderId="0" fillId="2" fontId="33" numFmtId="164" xfId="0" applyAlignment="1" applyFont="1" applyNumberFormat="1">
      <alignment horizontal="center" readingOrder="0" vertical="bottom"/>
    </xf>
    <xf borderId="0" fillId="2" fontId="33" numFmtId="3" xfId="0" applyAlignment="1" applyFont="1" applyNumberFormat="1">
      <alignment horizontal="center" readingOrder="0" vertical="bottom"/>
    </xf>
    <xf borderId="0" fillId="2" fontId="34" numFmtId="0" xfId="0" applyAlignment="1" applyFont="1">
      <alignment horizontal="center" readingOrder="0"/>
    </xf>
    <xf borderId="6" fillId="17" fontId="40" numFmtId="3" xfId="0" applyBorder="1" applyFont="1" applyNumberFormat="1"/>
    <xf borderId="0" fillId="17" fontId="23" numFmtId="0" xfId="0" applyAlignment="1" applyFont="1">
      <alignment horizontal="right"/>
    </xf>
    <xf borderId="13" fillId="17" fontId="23" numFmtId="0" xfId="0" applyAlignment="1" applyBorder="1" applyFont="1">
      <alignment horizontal="right"/>
    </xf>
    <xf borderId="0" fillId="2" fontId="41" numFmtId="165" xfId="0" applyAlignment="1" applyFont="1" applyNumberFormat="1">
      <alignment horizontal="left"/>
    </xf>
    <xf borderId="0" fillId="2" fontId="20" numFmtId="165" xfId="0" applyFont="1" applyNumberFormat="1"/>
    <xf borderId="0" fillId="0" fontId="9" numFmtId="165" xfId="0" applyAlignment="1" applyFont="1" applyNumberFormat="1">
      <alignment readingOrder="0"/>
    </xf>
    <xf borderId="0" fillId="0" fontId="9" numFmtId="165" xfId="0" applyFont="1" applyNumberFormat="1"/>
    <xf borderId="13" fillId="0" fontId="9" numFmtId="165" xfId="0" applyBorder="1" applyFont="1" applyNumberFormat="1"/>
    <xf borderId="0" fillId="2" fontId="42" numFmtId="0" xfId="0" applyAlignment="1" applyFont="1">
      <alignment readingOrder="0"/>
    </xf>
    <xf borderId="0" fillId="2" fontId="42" numFmtId="0" xfId="0" applyAlignment="1" applyFont="1">
      <alignment readingOrder="0"/>
    </xf>
    <xf borderId="6" fillId="17" fontId="23" numFmtId="3" xfId="0" applyAlignment="1" applyBorder="1" applyFont="1" applyNumberFormat="1">
      <alignment horizontal="right"/>
    </xf>
    <xf borderId="0" fillId="2" fontId="41" numFmtId="165" xfId="0" applyAlignment="1" applyFont="1" applyNumberFormat="1">
      <alignment readingOrder="0"/>
    </xf>
    <xf borderId="6" fillId="17" fontId="23" numFmtId="0" xfId="0" applyAlignment="1" applyBorder="1" applyFont="1">
      <alignment horizontal="right"/>
    </xf>
    <xf borderId="0" fillId="0" fontId="43" numFmtId="0" xfId="0" applyAlignment="1" applyFont="1">
      <alignment horizontal="center" readingOrder="0" vertical="bottom"/>
    </xf>
    <xf borderId="0" fillId="0" fontId="43" numFmtId="0" xfId="0" applyAlignment="1" applyFont="1">
      <alignment horizontal="center" readingOrder="0" vertical="bottom"/>
    </xf>
    <xf borderId="11" fillId="17" fontId="23" numFmtId="0" xfId="0" applyAlignment="1" applyBorder="1" applyFont="1">
      <alignment horizontal="right"/>
    </xf>
    <xf borderId="14" fillId="17" fontId="23" numFmtId="0" xfId="0" applyAlignment="1" applyBorder="1" applyFont="1">
      <alignment horizontal="right"/>
    </xf>
    <xf borderId="15" fillId="17" fontId="23" numFmtId="0" xfId="0" applyAlignment="1" applyBorder="1" applyFont="1">
      <alignment horizontal="right" readingOrder="0"/>
    </xf>
    <xf borderId="14" fillId="2" fontId="41" numFmtId="165" xfId="0" applyAlignment="1" applyBorder="1" applyFont="1" applyNumberFormat="1">
      <alignment horizontal="left" readingOrder="0"/>
    </xf>
    <xf borderId="14" fillId="2" fontId="20" numFmtId="165" xfId="0" applyBorder="1" applyFont="1" applyNumberFormat="1"/>
    <xf borderId="14" fillId="0" fontId="9" numFmtId="165" xfId="0" applyBorder="1" applyFont="1" applyNumberFormat="1"/>
    <xf borderId="15" fillId="0" fontId="9" numFmtId="165" xfId="0" applyBorder="1" applyFont="1" applyNumberFormat="1"/>
    <xf borderId="0" fillId="17" fontId="38" numFmtId="0" xfId="0" applyAlignment="1" applyFont="1">
      <alignment horizontal="right" readingOrder="0"/>
    </xf>
    <xf borderId="0" fillId="0" fontId="38" numFmtId="0" xfId="0" applyAlignment="1" applyFont="1">
      <alignment horizontal="center" readingOrder="0"/>
    </xf>
    <xf borderId="13" fillId="0" fontId="38" numFmtId="0" xfId="0" applyAlignment="1" applyBorder="1" applyFont="1">
      <alignment horizontal="center" readingOrder="0"/>
    </xf>
    <xf borderId="0" fillId="18" fontId="38" numFmtId="0" xfId="0" applyAlignment="1" applyFill="1" applyFont="1">
      <alignment horizontal="right" readingOrder="0"/>
    </xf>
    <xf borderId="6" fillId="18" fontId="38" numFmtId="0" xfId="0" applyAlignment="1" applyBorder="1" applyFont="1">
      <alignment horizontal="right" readingOrder="0"/>
    </xf>
    <xf borderId="13" fillId="18" fontId="38" numFmtId="0" xfId="0" applyAlignment="1" applyBorder="1" applyFont="1">
      <alignment horizontal="right" readingOrder="0"/>
    </xf>
    <xf borderId="0" fillId="18" fontId="9" numFmtId="165" xfId="0" applyFont="1" applyNumberFormat="1"/>
    <xf borderId="13" fillId="18" fontId="9" numFmtId="165" xfId="0" applyBorder="1" applyFont="1" applyNumberFormat="1"/>
    <xf borderId="0" fillId="6" fontId="38" numFmtId="0" xfId="0" applyAlignment="1" applyFont="1">
      <alignment horizontal="right" readingOrder="0"/>
    </xf>
    <xf borderId="6" fillId="6" fontId="38" numFmtId="165" xfId="0" applyAlignment="1" applyBorder="1" applyFont="1" applyNumberFormat="1">
      <alignment horizontal="right" readingOrder="0"/>
    </xf>
    <xf borderId="13" fillId="6" fontId="38" numFmtId="0" xfId="0" applyAlignment="1" applyBorder="1" applyFont="1">
      <alignment horizontal="right" readingOrder="0"/>
    </xf>
    <xf borderId="1" fillId="0" fontId="9" numFmtId="165" xfId="0" applyBorder="1" applyFont="1" applyNumberFormat="1"/>
    <xf borderId="2" fillId="0" fontId="9" numFmtId="165" xfId="0" applyBorder="1" applyFont="1" applyNumberFormat="1"/>
    <xf borderId="3" fillId="0" fontId="9" numFmtId="165" xfId="0" applyBorder="1" applyFont="1" applyNumberFormat="1"/>
    <xf borderId="6" fillId="6" fontId="38" numFmtId="0" xfId="0" applyAlignment="1" applyBorder="1" applyFont="1">
      <alignment horizontal="right" readingOrder="0"/>
    </xf>
    <xf borderId="13" fillId="6" fontId="38" numFmtId="0" xfId="0" applyAlignment="1" applyBorder="1" applyFont="1">
      <alignment horizontal="right"/>
    </xf>
    <xf borderId="6" fillId="0" fontId="9" numFmtId="165" xfId="0" applyBorder="1" applyFont="1" applyNumberFormat="1"/>
    <xf borderId="11" fillId="6" fontId="38" numFmtId="0" xfId="0" applyAlignment="1" applyBorder="1" applyFont="1">
      <alignment horizontal="right" readingOrder="0"/>
    </xf>
    <xf borderId="15" fillId="6" fontId="38" numFmtId="0" xfId="0" applyAlignment="1" applyBorder="1" applyFont="1">
      <alignment horizontal="right"/>
    </xf>
    <xf borderId="11" fillId="0" fontId="9" numFmtId="165" xfId="0" applyBorder="1" applyFont="1" applyNumberFormat="1"/>
    <xf borderId="0" fillId="14" fontId="38" numFmtId="0" xfId="0" applyAlignment="1" applyFont="1">
      <alignment horizontal="right" readingOrder="0"/>
    </xf>
    <xf borderId="0" fillId="14" fontId="38" numFmtId="0" xfId="0" applyAlignment="1" applyFont="1">
      <alignment horizontal="right" readingOrder="0"/>
    </xf>
    <xf borderId="0" fillId="0" fontId="9" numFmtId="0" xfId="0" applyFont="1"/>
    <xf borderId="0" fillId="0" fontId="9" numFmtId="0" xfId="0" applyAlignment="1" applyFont="1">
      <alignment readingOrder="0"/>
    </xf>
    <xf borderId="0" fillId="2" fontId="27" numFmtId="0" xfId="0" applyFont="1"/>
    <xf borderId="0" fillId="0" fontId="9" numFmtId="173" xfId="0" applyAlignment="1" applyFont="1" applyNumberFormat="1">
      <alignment readingOrder="0"/>
    </xf>
  </cellXfs>
  <cellStyles count="1">
    <cellStyle xfId="0" name="Normal" builtinId="0"/>
  </cellStyles>
  <dxfs count="17">
    <dxf>
      <font/>
      <fill>
        <patternFill patternType="none"/>
      </fill>
      <border/>
    </dxf>
    <dxf>
      <font/>
      <fill>
        <patternFill patternType="solid">
          <fgColor rgb="FF674EA7"/>
          <bgColor rgb="FF674EA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AFE9CA"/>
          <bgColor rgb="FFAFE9CA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60">
    <tableStyle count="3" pivot="0" name="Inicio-style">
      <tableStyleElement dxfId="1" type="headerRow"/>
      <tableStyleElement dxfId="2" type="firstRowStripe"/>
      <tableStyleElement dxfId="3" type="secondRowStripe"/>
    </tableStyle>
    <tableStyle count="2" pivot="0" name="Inicio-style 2">
      <tableStyleElement dxfId="2" type="firstRowStripe"/>
      <tableStyleElement dxfId="3" type="secondRowStripe"/>
    </tableStyle>
    <tableStyle count="4" pivot="0" name="Resumo-style">
      <tableStyleElement dxfId="4" type="headerRow"/>
      <tableStyleElement dxfId="2" type="firstRowStripe"/>
      <tableStyleElement dxfId="5" type="secondRowStripe"/>
      <tableStyleElement dxfId="6" type="totalRow"/>
    </tableStyle>
    <tableStyle count="4" pivot="0" name="Resumo-style 2">
      <tableStyleElement dxfId="7" type="headerRow"/>
      <tableStyleElement dxfId="2" type="firstRowStripe"/>
      <tableStyleElement dxfId="8" type="secondRowStripe"/>
      <tableStyleElement dxfId="2" type="totalRow"/>
    </tableStyle>
    <tableStyle count="3" pivot="0" name="Tabelas-style">
      <tableStyleElement dxfId="7" type="headerRow"/>
      <tableStyleElement dxfId="2" type="firstRowStripe"/>
      <tableStyleElement dxfId="8" type="secondRowStripe"/>
    </tableStyle>
    <tableStyle count="3" pivot="0" name="Tabelas-style 2">
      <tableStyleElement dxfId="4" type="headerRow"/>
      <tableStyleElement dxfId="2" type="firstRowStripe"/>
      <tableStyleElement dxfId="5" type="secondRowStripe"/>
    </tableStyle>
    <tableStyle count="3" pivot="0" name="Tabelas-style 3">
      <tableStyleElement dxfId="9" type="headerRow"/>
      <tableStyleElement dxfId="2" type="firstRowStripe"/>
      <tableStyleElement dxfId="10" type="secondRowStripe"/>
    </tableStyle>
    <tableStyle count="3" pivot="0" name="Entrada-style">
      <tableStyleElement dxfId="11" type="headerRow"/>
      <tableStyleElement dxfId="2" type="firstRowStripe"/>
      <tableStyleElement dxfId="12" type="secondRowStripe"/>
    </tableStyle>
    <tableStyle count="2" pivot="0" name="Entrada-style 2">
      <tableStyleElement dxfId="2" type="firstRowStripe"/>
      <tableStyleElement dxfId="12" type="secondRowStripe"/>
    </tableStyle>
    <tableStyle count="2" pivot="0" name="Entrada-style 3">
      <tableStyleElement dxfId="2" type="firstRowStripe"/>
      <tableStyleElement dxfId="12" type="secondRowStripe"/>
    </tableStyle>
    <tableStyle count="2" pivot="0" name="Entrada-style 4">
      <tableStyleElement dxfId="2" type="firstRowStripe"/>
      <tableStyleElement dxfId="12" type="secondRowStripe"/>
    </tableStyle>
    <tableStyle count="2" pivot="0" name="Entrada-style 5">
      <tableStyleElement dxfId="2" type="firstRowStripe"/>
      <tableStyleElement dxfId="12" type="secondRowStripe"/>
    </tableStyle>
    <tableStyle count="2" pivot="0" name="Entrada-style 6">
      <tableStyleElement dxfId="2" type="firstRowStripe"/>
      <tableStyleElement dxfId="12" type="secondRowStripe"/>
    </tableStyle>
    <tableStyle count="2" pivot="0" name="Entrada-style 7">
      <tableStyleElement dxfId="2" type="firstRowStripe"/>
      <tableStyleElement dxfId="12" type="secondRowStripe"/>
    </tableStyle>
    <tableStyle count="2" pivot="0" name="Entrada-style 8">
      <tableStyleElement dxfId="2" type="firstRowStripe"/>
      <tableStyleElement dxfId="12" type="secondRowStripe"/>
    </tableStyle>
    <tableStyle count="2" pivot="0" name="Entrada-style 9">
      <tableStyleElement dxfId="2" type="firstRowStripe"/>
      <tableStyleElement dxfId="12" type="secondRowStripe"/>
    </tableStyle>
    <tableStyle count="2" pivot="0" name="Entrada-style 10">
      <tableStyleElement dxfId="2" type="firstRowStripe"/>
      <tableStyleElement dxfId="12" type="secondRowStripe"/>
    </tableStyle>
    <tableStyle count="2" pivot="0" name="Entrada-style 11">
      <tableStyleElement dxfId="2" type="firstRowStripe"/>
      <tableStyleElement dxfId="12" type="secondRowStripe"/>
    </tableStyle>
    <tableStyle count="2" pivot="0" name="Entrada-style 12">
      <tableStyleElement dxfId="2" type="firstRowStripe"/>
      <tableStyleElement dxfId="12" type="secondRowStripe"/>
    </tableStyle>
    <tableStyle count="3" pivot="0" name="Saída-style">
      <tableStyleElement dxfId="13" type="headerRow"/>
      <tableStyleElement dxfId="2" type="firstRowStripe"/>
      <tableStyleElement dxfId="14" type="secondRowStripe"/>
    </tableStyle>
    <tableStyle count="2" pivot="0" name="Saída-style 2">
      <tableStyleElement dxfId="2" type="firstRowStripe"/>
      <tableStyleElement dxfId="8" type="secondRowStripe"/>
    </tableStyle>
    <tableStyle count="2" pivot="0" name="Saída-style 3">
      <tableStyleElement dxfId="2" type="firstRowStripe"/>
      <tableStyleElement dxfId="14" type="secondRowStripe"/>
    </tableStyle>
    <tableStyle count="2" pivot="0" name="Saída-style 4">
      <tableStyleElement dxfId="2" type="firstRowStripe"/>
      <tableStyleElement dxfId="8" type="secondRowStripe"/>
    </tableStyle>
    <tableStyle count="2" pivot="0" name="Saída-style 5">
      <tableStyleElement dxfId="2" type="firstRowStripe"/>
      <tableStyleElement dxfId="14" type="secondRowStripe"/>
    </tableStyle>
    <tableStyle count="2" pivot="0" name="Saída-style 6">
      <tableStyleElement dxfId="2" type="firstRowStripe"/>
      <tableStyleElement dxfId="8" type="secondRowStripe"/>
    </tableStyle>
    <tableStyle count="2" pivot="0" name="Saída-style 7">
      <tableStyleElement dxfId="2" type="firstRowStripe"/>
      <tableStyleElement dxfId="14" type="secondRowStripe"/>
    </tableStyle>
    <tableStyle count="2" pivot="0" name="Saída-style 8">
      <tableStyleElement dxfId="2" type="firstRowStripe"/>
      <tableStyleElement dxfId="8" type="secondRowStripe"/>
    </tableStyle>
    <tableStyle count="2" pivot="0" name="Saída-style 9">
      <tableStyleElement dxfId="2" type="firstRowStripe"/>
      <tableStyleElement dxfId="14" type="secondRowStripe"/>
    </tableStyle>
    <tableStyle count="2" pivot="0" name="Saída-style 10">
      <tableStyleElement dxfId="2" type="firstRowStripe"/>
      <tableStyleElement dxfId="8" type="secondRowStripe"/>
    </tableStyle>
    <tableStyle count="2" pivot="0" name="Saída-style 11">
      <tableStyleElement dxfId="2" type="firstRowStripe"/>
      <tableStyleElement dxfId="14" type="secondRowStripe"/>
    </tableStyle>
    <tableStyle count="2" pivot="0" name="Saída-style 12">
      <tableStyleElement dxfId="2" type="firstRowStripe"/>
      <tableStyleElement dxfId="8" type="secondRowStripe"/>
    </tableStyle>
    <tableStyle count="2" pivot="0" name="Saída-style 13">
      <tableStyleElement dxfId="2" type="firstRowStripe"/>
      <tableStyleElement dxfId="14" type="secondRowStripe"/>
    </tableStyle>
    <tableStyle count="2" pivot="0" name="Saída-style 14">
      <tableStyleElement dxfId="2" type="firstRowStripe"/>
      <tableStyleElement dxfId="8" type="secondRowStripe"/>
    </tableStyle>
    <tableStyle count="2" pivot="0" name="Saída-style 15">
      <tableStyleElement dxfId="2" type="firstRowStripe"/>
      <tableStyleElement dxfId="14" type="secondRowStripe"/>
    </tableStyle>
    <tableStyle count="2" pivot="0" name="Saída-style 16">
      <tableStyleElement dxfId="2" type="firstRowStripe"/>
      <tableStyleElement dxfId="8" type="secondRowStripe"/>
    </tableStyle>
    <tableStyle count="2" pivot="0" name="Saída-style 17">
      <tableStyleElement dxfId="2" type="firstRowStripe"/>
      <tableStyleElement dxfId="14" type="secondRowStripe"/>
    </tableStyle>
    <tableStyle count="2" pivot="0" name="Saída-style 18">
      <tableStyleElement dxfId="2" type="firstRowStripe"/>
      <tableStyleElement dxfId="8" type="secondRowStripe"/>
    </tableStyle>
    <tableStyle count="2" pivot="0" name="Saída-style 19">
      <tableStyleElement dxfId="2" type="firstRowStripe"/>
      <tableStyleElement dxfId="14" type="secondRowStripe"/>
    </tableStyle>
    <tableStyle count="2" pivot="0" name="Saída-style 20">
      <tableStyleElement dxfId="2" type="firstRowStripe"/>
      <tableStyleElement dxfId="8" type="secondRowStripe"/>
    </tableStyle>
    <tableStyle count="2" pivot="0" name="Saída-style 21">
      <tableStyleElement dxfId="2" type="firstRowStripe"/>
      <tableStyleElement dxfId="14" type="secondRowStripe"/>
    </tableStyle>
    <tableStyle count="2" pivot="0" name="Saída-style 22">
      <tableStyleElement dxfId="2" type="firstRowStripe"/>
      <tableStyleElement dxfId="8" type="secondRowStripe"/>
    </tableStyle>
    <tableStyle count="2" pivot="0" name="Saída-style 23">
      <tableStyleElement dxfId="2" type="firstRowStripe"/>
      <tableStyleElement dxfId="14" type="secondRowStripe"/>
    </tableStyle>
    <tableStyle count="2" pivot="0" name="Saída-style 24">
      <tableStyleElement dxfId="2" type="firstRowStripe"/>
      <tableStyleElement dxfId="8" type="secondRowStripe"/>
    </tableStyle>
    <tableStyle count="2" pivot="0" name="Saída-style 25">
      <tableStyleElement dxfId="2" type="firstRowStripe"/>
      <tableStyleElement dxfId="14" type="secondRowStripe"/>
    </tableStyle>
    <tableStyle count="3" pivot="0" name="Movimentação-style">
      <tableStyleElement dxfId="9" type="headerRow"/>
      <tableStyleElement dxfId="2" type="firstRowStripe"/>
      <tableStyleElement dxfId="10" type="secondRowStripe"/>
    </tableStyle>
    <tableStyle count="2" pivot="0" name="Movimentação-style 2">
      <tableStyleElement dxfId="2" type="firstRowStripe"/>
      <tableStyleElement dxfId="10" type="secondRowStripe"/>
    </tableStyle>
    <tableStyle count="2" pivot="0" name="Movimentação-style 3">
      <tableStyleElement dxfId="2" type="firstRowStripe"/>
      <tableStyleElement dxfId="10" type="secondRowStripe"/>
    </tableStyle>
    <tableStyle count="2" pivot="0" name="Movimentação-style 4">
      <tableStyleElement dxfId="2" type="firstRowStripe"/>
      <tableStyleElement dxfId="10" type="secondRowStripe"/>
    </tableStyle>
    <tableStyle count="2" pivot="0" name="Movimentação-style 5">
      <tableStyleElement dxfId="2" type="firstRowStripe"/>
      <tableStyleElement dxfId="10" type="secondRowStripe"/>
    </tableStyle>
    <tableStyle count="2" pivot="0" name="Movimentação-style 6">
      <tableStyleElement dxfId="2" type="firstRowStripe"/>
      <tableStyleElement dxfId="10" type="secondRowStripe"/>
    </tableStyle>
    <tableStyle count="2" pivot="0" name="Movimentação-style 7">
      <tableStyleElement dxfId="2" type="firstRowStripe"/>
      <tableStyleElement dxfId="10" type="secondRowStripe"/>
    </tableStyle>
    <tableStyle count="2" pivot="0" name="Movimentação-style 8">
      <tableStyleElement dxfId="2" type="firstRowStripe"/>
      <tableStyleElement dxfId="10" type="secondRowStripe"/>
    </tableStyle>
    <tableStyle count="2" pivot="0" name="Movimentação-style 9">
      <tableStyleElement dxfId="2" type="firstRowStripe"/>
      <tableStyleElement dxfId="10" type="secondRowStripe"/>
    </tableStyle>
    <tableStyle count="2" pivot="0" name="Movimentação-style 10">
      <tableStyleElement dxfId="2" type="firstRowStripe"/>
      <tableStyleElement dxfId="10" type="secondRowStripe"/>
    </tableStyle>
    <tableStyle count="2" pivot="0" name="Movimentação-style 11">
      <tableStyleElement dxfId="2" type="firstRowStripe"/>
      <tableStyleElement dxfId="10" type="secondRowStripe"/>
    </tableStyle>
    <tableStyle count="2" pivot="0" name="Movimentação-style 12">
      <tableStyleElement dxfId="2" type="firstRowStripe"/>
      <tableStyleElement dxfId="10" type="secondRowStripe"/>
    </tableStyle>
    <tableStyle count="3" pivot="0" name="Cartões-style">
      <tableStyleElement dxfId="13" type="headerRow"/>
      <tableStyleElement dxfId="2" type="firstRowStripe"/>
      <tableStyleElement dxfId="14" type="secondRowStripe"/>
    </tableStyle>
    <tableStyle count="3" pivot="0" name="Cartões-style 2">
      <tableStyleElement dxfId="15" type="headerRow"/>
      <tableStyleElement dxfId="2" type="firstRowStripe"/>
      <tableStyleElement dxfId="16" type="secondRowStripe"/>
    </tableStyle>
    <tableStyle count="3" pivot="0" name="Cartões-style 3">
      <tableStyleElement dxfId="13" type="headerRow"/>
      <tableStyleElement dxfId="2" type="firstRowStripe"/>
      <tableStyleElement dxfId="14" type="secondRowStripe"/>
    </tableStyle>
    <tableStyle count="3" pivot="0" name="Cartões-style 4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Entrada Anual ( Visão Geral 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Resumo!$A$4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Resumo!$B$3:$M$3</c:f>
            </c:strRef>
          </c:cat>
          <c:val>
            <c:numRef>
              <c:f>Resumo!$B$4:$M$4</c:f>
              <c:numCache/>
            </c:numRef>
          </c:val>
        </c:ser>
        <c:ser>
          <c:idx val="1"/>
          <c:order val="1"/>
          <c:tx>
            <c:strRef>
              <c:f>Resumo!$A$5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Resumo!$B$3:$M$3</c:f>
            </c:strRef>
          </c:cat>
          <c:val>
            <c:numRef>
              <c:f>Resumo!$B$5:$M$5</c:f>
              <c:numCache/>
            </c:numRef>
          </c:val>
        </c:ser>
        <c:ser>
          <c:idx val="2"/>
          <c:order val="2"/>
          <c:tx>
            <c:strRef>
              <c:f>Resumo!$A$6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Resumo!$B$3:$M$3</c:f>
            </c:strRef>
          </c:cat>
          <c:val>
            <c:numRef>
              <c:f>Resumo!$B$6:$M$6</c:f>
              <c:numCache/>
            </c:numRef>
          </c:val>
        </c:ser>
        <c:ser>
          <c:idx val="3"/>
          <c:order val="3"/>
          <c:tx>
            <c:strRef>
              <c:f>Resumo!$A$7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Resumo!$B$3:$M$3</c:f>
            </c:strRef>
          </c:cat>
          <c:val>
            <c:numRef>
              <c:f>Resumo!$B$7:$M$7</c:f>
              <c:numCache/>
            </c:numRef>
          </c:val>
        </c:ser>
        <c:ser>
          <c:idx val="4"/>
          <c:order val="4"/>
          <c:tx>
            <c:strRef>
              <c:f>Resumo!$A$8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Resumo!$B$3:$M$3</c:f>
            </c:strRef>
          </c:cat>
          <c:val>
            <c:numRef>
              <c:f>Resumo!$B$8:$M$8</c:f>
              <c:numCache/>
            </c:numRef>
          </c:val>
        </c:ser>
        <c:axId val="1677273319"/>
        <c:axId val="440015235"/>
      </c:barChart>
      <c:catAx>
        <c:axId val="1677273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015235"/>
      </c:catAx>
      <c:valAx>
        <c:axId val="440015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273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Saída Anual ( Visão Geral 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Resumo!$A$25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Resumo!$B$25:$M$25</c:f>
              <c:numCache/>
            </c:numRef>
          </c:val>
        </c:ser>
        <c:ser>
          <c:idx val="1"/>
          <c:order val="1"/>
          <c:tx>
            <c:strRef>
              <c:f>Resumo!$A$26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Resumo!$B$26:$M$26</c:f>
              <c:numCache/>
            </c:numRef>
          </c:val>
        </c:ser>
        <c:ser>
          <c:idx val="2"/>
          <c:order val="2"/>
          <c:tx>
            <c:strRef>
              <c:f>Resumo!$A$27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Resumo!$B$27:$M$27</c:f>
              <c:numCache/>
            </c:numRef>
          </c:val>
        </c:ser>
        <c:ser>
          <c:idx val="3"/>
          <c:order val="3"/>
          <c:tx>
            <c:strRef>
              <c:f>Resumo!$A$28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Resumo!$B$28:$M$28</c:f>
              <c:numCache/>
            </c:numRef>
          </c:val>
        </c:ser>
        <c:ser>
          <c:idx val="4"/>
          <c:order val="4"/>
          <c:tx>
            <c:strRef>
              <c:f>Resumo!$A$29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Resumo!$B$29:$M$29</c:f>
              <c:numCache/>
            </c:numRef>
          </c:val>
        </c:ser>
        <c:ser>
          <c:idx val="5"/>
          <c:order val="5"/>
          <c:tx>
            <c:strRef>
              <c:f>Resumo!$A$30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Resumo!$B$30:$M$30</c:f>
              <c:numCache/>
            </c:numRef>
          </c:val>
        </c:ser>
        <c:ser>
          <c:idx val="6"/>
          <c:order val="6"/>
          <c:tx>
            <c:strRef>
              <c:f>Resumo!$A$31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Resumo!$B$31:$M$31</c:f>
              <c:numCache/>
            </c:numRef>
          </c:val>
        </c:ser>
        <c:ser>
          <c:idx val="7"/>
          <c:order val="7"/>
          <c:tx>
            <c:strRef>
              <c:f>Resumo!$A$32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Resumo!$B$32:$M$32</c:f>
              <c:numCache/>
            </c:numRef>
          </c:val>
        </c:ser>
        <c:ser>
          <c:idx val="8"/>
          <c:order val="8"/>
          <c:tx>
            <c:strRef>
              <c:f>Resumo!$A$33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Resumo!$B$33:$M$33</c:f>
              <c:numCache/>
            </c:numRef>
          </c:val>
        </c:ser>
        <c:ser>
          <c:idx val="9"/>
          <c:order val="9"/>
          <c:tx>
            <c:strRef>
              <c:f>Resumo!$A$34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Resumo!$B$34:$M$34</c:f>
              <c:numCache/>
            </c:numRef>
          </c:val>
        </c:ser>
        <c:axId val="1639306184"/>
        <c:axId val="1555262088"/>
      </c:barChart>
      <c:catAx>
        <c:axId val="163930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Janeiro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262088"/>
      </c:catAx>
      <c:valAx>
        <c:axId val="1555262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306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44</xdr:row>
      <xdr:rowOff>0</xdr:rowOff>
    </xdr:from>
    <xdr:ext cx="13182600" cy="36290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63</xdr:row>
      <xdr:rowOff>152400</xdr:rowOff>
    </xdr:from>
    <xdr:ext cx="13182600" cy="36290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0:U32" displayName="Table_1" id="1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Inici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B87:G127" displayName="Table_10" id="10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3" showColumnStripes="0" showFirstColumn="1" showLastColumn="1" showRowStripes="1"/>
</table>
</file>

<file path=xl/tables/table11.xml><?xml version="1.0" encoding="utf-8"?>
<table xmlns="http://schemas.openxmlformats.org/spreadsheetml/2006/main" headerRowCount="0" ref="B129:G169" displayName="Table_11" id="1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4" showColumnStripes="0" showFirstColumn="1" showLastColumn="1" showRowStripes="1"/>
</table>
</file>

<file path=xl/tables/table12.xml><?xml version="1.0" encoding="utf-8"?>
<table xmlns="http://schemas.openxmlformats.org/spreadsheetml/2006/main" headerRowCount="0" ref="B171:G211" displayName="Table_12" id="1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5" showColumnStripes="0" showFirstColumn="1" showLastColumn="1" showRowStripes="1"/>
</table>
</file>

<file path=xl/tables/table13.xml><?xml version="1.0" encoding="utf-8"?>
<table xmlns="http://schemas.openxmlformats.org/spreadsheetml/2006/main" headerRowCount="0" ref="B213:G253" displayName="Table_13" id="1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6" showColumnStripes="0" showFirstColumn="1" showLastColumn="1" showRowStripes="1"/>
</table>
</file>

<file path=xl/tables/table14.xml><?xml version="1.0" encoding="utf-8"?>
<table xmlns="http://schemas.openxmlformats.org/spreadsheetml/2006/main" headerRowCount="0" ref="B255:G295" displayName="Table_14" id="1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7" showColumnStripes="0" showFirstColumn="1" showLastColumn="1" showRowStripes="1"/>
</table>
</file>

<file path=xl/tables/table15.xml><?xml version="1.0" encoding="utf-8"?>
<table xmlns="http://schemas.openxmlformats.org/spreadsheetml/2006/main" headerRowCount="0" ref="B297:G337" displayName="Table_15" id="1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8" showColumnStripes="0" showFirstColumn="1" showLastColumn="1" showRowStripes="1"/>
</table>
</file>

<file path=xl/tables/table16.xml><?xml version="1.0" encoding="utf-8"?>
<table xmlns="http://schemas.openxmlformats.org/spreadsheetml/2006/main" headerRowCount="0" ref="B339:G379" displayName="Table_16" id="1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9" showColumnStripes="0" showFirstColumn="1" showLastColumn="1" showRowStripes="1"/>
</table>
</file>

<file path=xl/tables/table17.xml><?xml version="1.0" encoding="utf-8"?>
<table xmlns="http://schemas.openxmlformats.org/spreadsheetml/2006/main" headerRowCount="0" ref="B381:G421" displayName="Table_17" id="1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10" showColumnStripes="0" showFirstColumn="1" showLastColumn="1" showRowStripes="1"/>
</table>
</file>

<file path=xl/tables/table18.xml><?xml version="1.0" encoding="utf-8"?>
<table xmlns="http://schemas.openxmlformats.org/spreadsheetml/2006/main" headerRowCount="0" ref="B423:G463" displayName="Table_18" id="1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11" showColumnStripes="0" showFirstColumn="1" showLastColumn="1" showRowStripes="1"/>
</table>
</file>

<file path=xl/tables/table19.xml><?xml version="1.0" encoding="utf-8"?>
<table xmlns="http://schemas.openxmlformats.org/spreadsheetml/2006/main" headerRowCount="0" ref="B465:G505" displayName="Table_19" id="1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12" showColumnStripes="0" showFirstColumn="1" showLastColumn="1" showRowStripes="1"/>
</table>
</file>

<file path=xl/tables/table2.xml><?xml version="1.0" encoding="utf-8"?>
<table xmlns="http://schemas.openxmlformats.org/spreadsheetml/2006/main" headerRowCount="0" ref="B36:U40" displayName="Table_2" id="2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Inicio-style 2" showColumnStripes="0" showFirstColumn="1" showLastColumn="1" showRowStripes="1"/>
</table>
</file>

<file path=xl/tables/table20.xml><?xml version="1.0" encoding="utf-8"?>
<table xmlns="http://schemas.openxmlformats.org/spreadsheetml/2006/main" ref="J2:Q43" displayName="Table_20" id="20">
  <tableColumns count="8">
    <tableColumn name="Mês" id="1"/>
    <tableColumn name="ID" id="2"/>
    <tableColumn name="Dia" id="3"/>
    <tableColumn name="Descrição" id="4"/>
    <tableColumn name="Valor total" id="5"/>
    <tableColumn name="Parcelas" id="6"/>
    <tableColumn name="V/ parcela" id="7"/>
    <tableColumn name="Cartão" id="8"/>
  </tableColumns>
  <tableStyleInfo name="Saída-style" showColumnStripes="0" showFirstColumn="1" showLastColumn="1" showRowStripes="1"/>
</table>
</file>

<file path=xl/tables/table21.xml><?xml version="1.0" encoding="utf-8"?>
<table xmlns="http://schemas.openxmlformats.org/spreadsheetml/2006/main" headerRowCount="0" ref="B3:H43" displayName="Table_21" id="2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" showColumnStripes="0" showFirstColumn="1" showLastColumn="1" showRowStripes="1"/>
</table>
</file>

<file path=xl/tables/table22.xml><?xml version="1.0" encoding="utf-8"?>
<table xmlns="http://schemas.openxmlformats.org/spreadsheetml/2006/main" headerRowCount="0" ref="Y12:AB12" displayName="Table_22" id="22">
  <tableColumns count="4">
    <tableColumn name="Column1" id="1"/>
    <tableColumn name="Column2" id="2"/>
    <tableColumn name="Column3" id="3"/>
    <tableColumn name="Column4" id="4"/>
  </tableColumns>
  <tableStyleInfo name="Saída-style 3" showColumnStripes="0" showFirstColumn="1" showLastColumn="1" showRowStripes="1"/>
</table>
</file>

<file path=xl/tables/table23.xml><?xml version="1.0" encoding="utf-8"?>
<table xmlns="http://schemas.openxmlformats.org/spreadsheetml/2006/main" headerRowCount="0" ref="B45:H85" displayName="Table_23" id="2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4" showColumnStripes="0" showFirstColumn="1" showLastColumn="1" showRowStripes="1"/>
</table>
</file>

<file path=xl/tables/table24.xml><?xml version="1.0" encoding="utf-8"?>
<table xmlns="http://schemas.openxmlformats.org/spreadsheetml/2006/main" headerRowCount="0" ref="J45:Q85" displayName="Table_24" id="2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ída-style 5" showColumnStripes="0" showFirstColumn="1" showLastColumn="1" showRowStripes="1"/>
</table>
</file>

<file path=xl/tables/table25.xml><?xml version="1.0" encoding="utf-8"?>
<table xmlns="http://schemas.openxmlformats.org/spreadsheetml/2006/main" headerRowCount="0" ref="B87:H127" displayName="Table_25" id="2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6" showColumnStripes="0" showFirstColumn="1" showLastColumn="1" showRowStripes="1"/>
</table>
</file>

<file path=xl/tables/table26.xml><?xml version="1.0" encoding="utf-8"?>
<table xmlns="http://schemas.openxmlformats.org/spreadsheetml/2006/main" headerRowCount="0" ref="J87:Q127" displayName="Table_26" id="2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ída-style 7" showColumnStripes="0" showFirstColumn="1" showLastColumn="1" showRowStripes="1"/>
</table>
</file>

<file path=xl/tables/table27.xml><?xml version="1.0" encoding="utf-8"?>
<table xmlns="http://schemas.openxmlformats.org/spreadsheetml/2006/main" headerRowCount="0" ref="B129:H169" displayName="Table_27" id="2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8" showColumnStripes="0" showFirstColumn="1" showLastColumn="1" showRowStripes="1"/>
</table>
</file>

<file path=xl/tables/table28.xml><?xml version="1.0" encoding="utf-8"?>
<table xmlns="http://schemas.openxmlformats.org/spreadsheetml/2006/main" headerRowCount="0" ref="J129:Q169" displayName="Table_28" id="2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ída-style 9" showColumnStripes="0" showFirstColumn="1" showLastColumn="1" showRowStripes="1"/>
</table>
</file>

<file path=xl/tables/table29.xml><?xml version="1.0" encoding="utf-8"?>
<table xmlns="http://schemas.openxmlformats.org/spreadsheetml/2006/main" headerRowCount="0" ref="B171:H211" displayName="Table_29" id="29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0" showColumnStripes="0" showFirstColumn="1" showLastColumn="1" showRowStripes="1"/>
</table>
</file>

<file path=xl/tables/table3.xml><?xml version="1.0" encoding="utf-8"?>
<table xmlns="http://schemas.openxmlformats.org/spreadsheetml/2006/main" headerRowCount="0" ref="A3:N21" displayName="Table_3" id="3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Resum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headerRowCount="0" ref="J171:Q211" displayName="Table_30" id="30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ída-style 11" showColumnStripes="0" showFirstColumn="1" showLastColumn="1" showRowStripes="1"/>
</table>
</file>

<file path=xl/tables/table31.xml><?xml version="1.0" encoding="utf-8"?>
<table xmlns="http://schemas.openxmlformats.org/spreadsheetml/2006/main" headerRowCount="0" ref="B213:H253" displayName="Table_31" id="3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2" showColumnStripes="0" showFirstColumn="1" showLastColumn="1" showRowStripes="1"/>
</table>
</file>

<file path=xl/tables/table32.xml><?xml version="1.0" encoding="utf-8"?>
<table xmlns="http://schemas.openxmlformats.org/spreadsheetml/2006/main" headerRowCount="0" ref="J213:Q253" displayName="Table_32" id="3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ída-style 13" showColumnStripes="0" showFirstColumn="1" showLastColumn="1" showRowStripes="1"/>
</table>
</file>

<file path=xl/tables/table33.xml><?xml version="1.0" encoding="utf-8"?>
<table xmlns="http://schemas.openxmlformats.org/spreadsheetml/2006/main" headerRowCount="0" ref="B255:H295" displayName="Table_33" id="3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4" showColumnStripes="0" showFirstColumn="1" showLastColumn="1" showRowStripes="1"/>
</table>
</file>

<file path=xl/tables/table34.xml><?xml version="1.0" encoding="utf-8"?>
<table xmlns="http://schemas.openxmlformats.org/spreadsheetml/2006/main" headerRowCount="0" ref="J255:Q295" displayName="Table_34" id="3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ída-style 15" showColumnStripes="0" showFirstColumn="1" showLastColumn="1" showRowStripes="1"/>
</table>
</file>

<file path=xl/tables/table35.xml><?xml version="1.0" encoding="utf-8"?>
<table xmlns="http://schemas.openxmlformats.org/spreadsheetml/2006/main" headerRowCount="0" ref="B297:H337" displayName="Table_35" id="3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6" showColumnStripes="0" showFirstColumn="1" showLastColumn="1" showRowStripes="1"/>
</table>
</file>

<file path=xl/tables/table36.xml><?xml version="1.0" encoding="utf-8"?>
<table xmlns="http://schemas.openxmlformats.org/spreadsheetml/2006/main" headerRowCount="0" ref="J297:Q337" displayName="Table_36" id="3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ída-style 17" showColumnStripes="0" showFirstColumn="1" showLastColumn="1" showRowStripes="1"/>
</table>
</file>

<file path=xl/tables/table37.xml><?xml version="1.0" encoding="utf-8"?>
<table xmlns="http://schemas.openxmlformats.org/spreadsheetml/2006/main" headerRowCount="0" ref="B339:H379" displayName="Table_37" id="3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8" showColumnStripes="0" showFirstColumn="1" showLastColumn="1" showRowStripes="1"/>
</table>
</file>

<file path=xl/tables/table38.xml><?xml version="1.0" encoding="utf-8"?>
<table xmlns="http://schemas.openxmlformats.org/spreadsheetml/2006/main" headerRowCount="0" ref="J339:Q379" displayName="Table_38" id="3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ída-style 19" showColumnStripes="0" showFirstColumn="1" showLastColumn="1" showRowStripes="1"/>
</table>
</file>

<file path=xl/tables/table39.xml><?xml version="1.0" encoding="utf-8"?>
<table xmlns="http://schemas.openxmlformats.org/spreadsheetml/2006/main" headerRowCount="0" ref="B381:H421" displayName="Table_39" id="39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0" showColumnStripes="0" showFirstColumn="1" showLastColumn="1" showRowStripes="1"/>
</table>
</file>

<file path=xl/tables/table4.xml><?xml version="1.0" encoding="utf-8"?>
<table xmlns="http://schemas.openxmlformats.org/spreadsheetml/2006/main" headerRowCount="0" ref="A24:N42" displayName="Table_4" id="4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Resumo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0.xml><?xml version="1.0" encoding="utf-8"?>
<table xmlns="http://schemas.openxmlformats.org/spreadsheetml/2006/main" headerRowCount="0" ref="J381:Q421" displayName="Table_40" id="40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ída-style 21" showColumnStripes="0" showFirstColumn="1" showLastColumn="1" showRowStripes="1"/>
</table>
</file>

<file path=xl/tables/table41.xml><?xml version="1.0" encoding="utf-8"?>
<table xmlns="http://schemas.openxmlformats.org/spreadsheetml/2006/main" headerRowCount="0" ref="B423:H463" displayName="Table_41" id="4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2" showColumnStripes="0" showFirstColumn="1" showLastColumn="1" showRowStripes="1"/>
</table>
</file>

<file path=xl/tables/table42.xml><?xml version="1.0" encoding="utf-8"?>
<table xmlns="http://schemas.openxmlformats.org/spreadsheetml/2006/main" headerRowCount="0" ref="J423:Q463" displayName="Table_42" id="4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ída-style 23" showColumnStripes="0" showFirstColumn="1" showLastColumn="1" showRowStripes="1"/>
</table>
</file>

<file path=xl/tables/table43.xml><?xml version="1.0" encoding="utf-8"?>
<table xmlns="http://schemas.openxmlformats.org/spreadsheetml/2006/main" headerRowCount="0" ref="B465:H505" displayName="Table_43" id="4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4" showColumnStripes="0" showFirstColumn="1" showLastColumn="1" showRowStripes="1"/>
</table>
</file>

<file path=xl/tables/table44.xml><?xml version="1.0" encoding="utf-8"?>
<table xmlns="http://schemas.openxmlformats.org/spreadsheetml/2006/main" headerRowCount="0" ref="J465:Q505" displayName="Table_44" id="4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aída-style 25" showColumnStripes="0" showFirstColumn="1" showLastColumn="1" showRowStripes="1"/>
</table>
</file>

<file path=xl/tables/table45.xml><?xml version="1.0" encoding="utf-8"?>
<table xmlns="http://schemas.openxmlformats.org/spreadsheetml/2006/main" ref="B2:I43" displayName="Table_45" id="45">
  <tableColumns count="8">
    <tableColumn name="Categoria" id="1"/>
    <tableColumn name="Dia" id="2"/>
    <tableColumn name="Descrição" id="3"/>
    <tableColumn name="Valor" id="4"/>
    <tableColumn name="Origem" id="5"/>
    <tableColumn name="Destino" id="6"/>
    <tableColumn name="Cód. Origem" id="7"/>
    <tableColumn name="Cód. Destino" id="8"/>
  </tableColumns>
  <tableStyleInfo name="Movimentação-style" showColumnStripes="0" showFirstColumn="1" showLastColumn="1" showRowStripes="1"/>
</table>
</file>

<file path=xl/tables/table46.xml><?xml version="1.0" encoding="utf-8"?>
<table xmlns="http://schemas.openxmlformats.org/spreadsheetml/2006/main" headerRowCount="0" ref="B45:I85" displayName="Table_46" id="4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2" showColumnStripes="0" showFirstColumn="1" showLastColumn="1" showRowStripes="1"/>
</table>
</file>

<file path=xl/tables/table47.xml><?xml version="1.0" encoding="utf-8"?>
<table xmlns="http://schemas.openxmlformats.org/spreadsheetml/2006/main" headerRowCount="0" ref="B87:I127" displayName="Table_47" id="47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3" showColumnStripes="0" showFirstColumn="1" showLastColumn="1" showRowStripes="1"/>
</table>
</file>

<file path=xl/tables/table48.xml><?xml version="1.0" encoding="utf-8"?>
<table xmlns="http://schemas.openxmlformats.org/spreadsheetml/2006/main" headerRowCount="0" ref="B129:I169" displayName="Table_48" id="4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4" showColumnStripes="0" showFirstColumn="1" showLastColumn="1" showRowStripes="1"/>
</table>
</file>

<file path=xl/tables/table49.xml><?xml version="1.0" encoding="utf-8"?>
<table xmlns="http://schemas.openxmlformats.org/spreadsheetml/2006/main" headerRowCount="0" ref="B171:I211" displayName="Table_49" id="4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5" showColumnStripes="0" showFirstColumn="1" showLastColumn="1" showRowStripes="1"/>
</table>
</file>

<file path=xl/tables/table5.xml><?xml version="1.0" encoding="utf-8"?>
<table xmlns="http://schemas.openxmlformats.org/spreadsheetml/2006/main" ref="B12:C52" displayName="Table_5" id="5">
  <tableColumns count="2">
    <tableColumn name="Tipo" id="1"/>
    <tableColumn name="Código" id="2"/>
  </tableColumns>
  <tableStyleInfo name="Tabelas-style" showColumnStripes="0" showFirstColumn="1" showLastColumn="1" showRowStripes="1"/>
</table>
</file>

<file path=xl/tables/table50.xml><?xml version="1.0" encoding="utf-8"?>
<table xmlns="http://schemas.openxmlformats.org/spreadsheetml/2006/main" headerRowCount="0" ref="B213:I253" displayName="Table_50" id="50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6" showColumnStripes="0" showFirstColumn="1" showLastColumn="1" showRowStripes="1"/>
</table>
</file>

<file path=xl/tables/table51.xml><?xml version="1.0" encoding="utf-8"?>
<table xmlns="http://schemas.openxmlformats.org/spreadsheetml/2006/main" headerRowCount="0" ref="B255:I295" displayName="Table_51" id="5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7" showColumnStripes="0" showFirstColumn="1" showLastColumn="1" showRowStripes="1"/>
</table>
</file>

<file path=xl/tables/table52.xml><?xml version="1.0" encoding="utf-8"?>
<table xmlns="http://schemas.openxmlformats.org/spreadsheetml/2006/main" headerRowCount="0" ref="B297:I337" displayName="Table_52" id="5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8" showColumnStripes="0" showFirstColumn="1" showLastColumn="1" showRowStripes="1"/>
</table>
</file>

<file path=xl/tables/table53.xml><?xml version="1.0" encoding="utf-8"?>
<table xmlns="http://schemas.openxmlformats.org/spreadsheetml/2006/main" headerRowCount="0" ref="B339:I379" displayName="Table_53" id="5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9" showColumnStripes="0" showFirstColumn="1" showLastColumn="1" showRowStripes="1"/>
</table>
</file>

<file path=xl/tables/table54.xml><?xml version="1.0" encoding="utf-8"?>
<table xmlns="http://schemas.openxmlformats.org/spreadsheetml/2006/main" headerRowCount="0" ref="B381:I421" displayName="Table_54" id="5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10" showColumnStripes="0" showFirstColumn="1" showLastColumn="1" showRowStripes="1"/>
</table>
</file>

<file path=xl/tables/table55.xml><?xml version="1.0" encoding="utf-8"?>
<table xmlns="http://schemas.openxmlformats.org/spreadsheetml/2006/main" headerRowCount="0" ref="B423:I463" displayName="Table_55" id="5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11" showColumnStripes="0" showFirstColumn="1" showLastColumn="1" showRowStripes="1"/>
</table>
</file>

<file path=xl/tables/table56.xml><?xml version="1.0" encoding="utf-8"?>
<table xmlns="http://schemas.openxmlformats.org/spreadsheetml/2006/main" headerRowCount="0" ref="B465:I505" displayName="Table_56" id="5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12" showColumnStripes="0" showFirstColumn="1" showLastColumn="1" showRowStripes="1"/>
</table>
</file>

<file path=xl/tables/table57.xml><?xml version="1.0" encoding="utf-8"?>
<table xmlns="http://schemas.openxmlformats.org/spreadsheetml/2006/main" ref="AC4:AJ24" displayName="Table_57" id="57">
  <tableColumns count="8">
    <tableColumn name="Mês" id="1"/>
    <tableColumn name="ID" id="2"/>
    <tableColumn name="Dia" id="3"/>
    <tableColumn name="Descrição" id="4"/>
    <tableColumn name="Valor total" id="5"/>
    <tableColumn name="Parcelas" id="6"/>
    <tableColumn name="V/ parcela" id="7"/>
    <tableColumn name="Cartão" id="8"/>
  </tableColumns>
  <tableStyleInfo name="Cartões-style" showColumnStripes="0" showFirstColumn="1" showLastColumn="1" showRowStripes="1"/>
</table>
</file>

<file path=xl/tables/table58.xml><?xml version="1.0" encoding="utf-8"?>
<table xmlns="http://schemas.openxmlformats.org/spreadsheetml/2006/main" headerRowCount="0" ref="D27:AA99" displayName="Table_58" id="58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Cartõe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9.xml><?xml version="1.0" encoding="utf-8"?>
<table xmlns="http://schemas.openxmlformats.org/spreadsheetml/2006/main" headerRowCount="0" ref="AC27:AJ28" displayName="Table_59" id="5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artõe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E12:F52" displayName="Table_6" id="6">
  <tableColumns count="2">
    <tableColumn name="Tipo" id="1"/>
    <tableColumn name="Código" id="2"/>
  </tableColumns>
  <tableStyleInfo name="Tabelas-style 2" showColumnStripes="0" showFirstColumn="1" showLastColumn="1" showRowStripes="1"/>
</table>
</file>

<file path=xl/tables/table60.xml><?xml version="1.0" encoding="utf-8"?>
<table xmlns="http://schemas.openxmlformats.org/spreadsheetml/2006/main" headerRowCount="0" ref="A102:AA124" displayName="Table_60" id="60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Cartõe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H12:I52" displayName="Table_7" id="7">
  <tableColumns count="2">
    <tableColumn name="Tipo" id="1"/>
    <tableColumn name="Código" id="2"/>
  </tableColumns>
  <tableStyleInfo name="Tabelas-style 3" showColumnStripes="0" showFirstColumn="1" showLastColumn="1" showRowStripes="1"/>
</table>
</file>

<file path=xl/tables/table8.xml><?xml version="1.0" encoding="utf-8"?>
<table xmlns="http://schemas.openxmlformats.org/spreadsheetml/2006/main" ref="B2:G43" displayName="Table_8" id="8">
  <tableColumns count="6">
    <tableColumn name="Categoria" id="1"/>
    <tableColumn name="Dia" id="2"/>
    <tableColumn name="Descrição" id="3"/>
    <tableColumn name="Valor" id="4"/>
    <tableColumn name="Destino" id="5"/>
    <tableColumn name="Código" id="6"/>
  </tableColumns>
  <tableStyleInfo name="Entrada-style" showColumnStripes="0" showFirstColumn="1" showLastColumn="1" showRowStripes="1"/>
</table>
</file>

<file path=xl/tables/table9.xml><?xml version="1.0" encoding="utf-8"?>
<table xmlns="http://schemas.openxmlformats.org/spreadsheetml/2006/main" headerRowCount="0" ref="B45:G85" displayName="Table_9" id="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4.xml"/><Relationship Id="rId22" Type="http://schemas.openxmlformats.org/officeDocument/2006/relationships/table" Target="../tables/table16.xml"/><Relationship Id="rId21" Type="http://schemas.openxmlformats.org/officeDocument/2006/relationships/table" Target="../tables/table15.xml"/><Relationship Id="rId24" Type="http://schemas.openxmlformats.org/officeDocument/2006/relationships/table" Target="../tables/table18.xml"/><Relationship Id="rId23" Type="http://schemas.openxmlformats.org/officeDocument/2006/relationships/table" Target="../tables/table17.xml"/><Relationship Id="rId1" Type="http://schemas.openxmlformats.org/officeDocument/2006/relationships/drawing" Target="../drawings/drawing4.xml"/><Relationship Id="rId15" Type="http://schemas.openxmlformats.org/officeDocument/2006/relationships/table" Target="../tables/table9.xml"/><Relationship Id="rId14" Type="http://schemas.openxmlformats.org/officeDocument/2006/relationships/table" Target="../tables/table8.xml"/><Relationship Id="rId25" Type="http://schemas.openxmlformats.org/officeDocument/2006/relationships/table" Target="../tables/table19.xml"/><Relationship Id="rId17" Type="http://schemas.openxmlformats.org/officeDocument/2006/relationships/table" Target="../tables/table11.xml"/><Relationship Id="rId16" Type="http://schemas.openxmlformats.org/officeDocument/2006/relationships/table" Target="../tables/table10.xml"/><Relationship Id="rId19" Type="http://schemas.openxmlformats.org/officeDocument/2006/relationships/table" Target="../tables/table13.xml"/><Relationship Id="rId18" Type="http://schemas.openxmlformats.org/officeDocument/2006/relationships/table" Target="../tables/table12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table" Target="../tables/table32.xml"/><Relationship Id="rId42" Type="http://schemas.openxmlformats.org/officeDocument/2006/relationships/table" Target="../tables/table34.xml"/><Relationship Id="rId41" Type="http://schemas.openxmlformats.org/officeDocument/2006/relationships/table" Target="../tables/table33.xml"/><Relationship Id="rId44" Type="http://schemas.openxmlformats.org/officeDocument/2006/relationships/table" Target="../tables/table36.xml"/><Relationship Id="rId43" Type="http://schemas.openxmlformats.org/officeDocument/2006/relationships/table" Target="../tables/table35.xml"/><Relationship Id="rId46" Type="http://schemas.openxmlformats.org/officeDocument/2006/relationships/table" Target="../tables/table38.xml"/><Relationship Id="rId45" Type="http://schemas.openxmlformats.org/officeDocument/2006/relationships/table" Target="../tables/table37.xml"/><Relationship Id="rId1" Type="http://schemas.openxmlformats.org/officeDocument/2006/relationships/hyperlink" Target="http://bar.co" TargetMode="External"/><Relationship Id="rId2" Type="http://schemas.openxmlformats.org/officeDocument/2006/relationships/drawing" Target="../drawings/drawing5.xml"/><Relationship Id="rId48" Type="http://schemas.openxmlformats.org/officeDocument/2006/relationships/table" Target="../tables/table40.xml"/><Relationship Id="rId47" Type="http://schemas.openxmlformats.org/officeDocument/2006/relationships/table" Target="../tables/table39.xml"/><Relationship Id="rId28" Type="http://schemas.openxmlformats.org/officeDocument/2006/relationships/table" Target="../tables/table20.xml"/><Relationship Id="rId49" Type="http://schemas.openxmlformats.org/officeDocument/2006/relationships/table" Target="../tables/table41.xml"/><Relationship Id="rId29" Type="http://schemas.openxmlformats.org/officeDocument/2006/relationships/table" Target="../tables/table21.xml"/><Relationship Id="rId51" Type="http://schemas.openxmlformats.org/officeDocument/2006/relationships/table" Target="../tables/table43.xml"/><Relationship Id="rId50" Type="http://schemas.openxmlformats.org/officeDocument/2006/relationships/table" Target="../tables/table42.xml"/><Relationship Id="rId31" Type="http://schemas.openxmlformats.org/officeDocument/2006/relationships/table" Target="../tables/table23.xml"/><Relationship Id="rId30" Type="http://schemas.openxmlformats.org/officeDocument/2006/relationships/table" Target="../tables/table22.xml"/><Relationship Id="rId52" Type="http://schemas.openxmlformats.org/officeDocument/2006/relationships/table" Target="../tables/table44.xml"/><Relationship Id="rId33" Type="http://schemas.openxmlformats.org/officeDocument/2006/relationships/table" Target="../tables/table25.xml"/><Relationship Id="rId32" Type="http://schemas.openxmlformats.org/officeDocument/2006/relationships/table" Target="../tables/table24.xml"/><Relationship Id="rId35" Type="http://schemas.openxmlformats.org/officeDocument/2006/relationships/table" Target="../tables/table27.xml"/><Relationship Id="rId34" Type="http://schemas.openxmlformats.org/officeDocument/2006/relationships/table" Target="../tables/table26.xml"/><Relationship Id="rId37" Type="http://schemas.openxmlformats.org/officeDocument/2006/relationships/table" Target="../tables/table29.xml"/><Relationship Id="rId36" Type="http://schemas.openxmlformats.org/officeDocument/2006/relationships/table" Target="../tables/table28.xml"/><Relationship Id="rId39" Type="http://schemas.openxmlformats.org/officeDocument/2006/relationships/table" Target="../tables/table31.xml"/><Relationship Id="rId38" Type="http://schemas.openxmlformats.org/officeDocument/2006/relationships/table" Target="../tables/table30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table" Target="../tables/table51.xml"/><Relationship Id="rId22" Type="http://schemas.openxmlformats.org/officeDocument/2006/relationships/table" Target="../tables/table53.xml"/><Relationship Id="rId21" Type="http://schemas.openxmlformats.org/officeDocument/2006/relationships/table" Target="../tables/table52.xml"/><Relationship Id="rId24" Type="http://schemas.openxmlformats.org/officeDocument/2006/relationships/table" Target="../tables/table55.xml"/><Relationship Id="rId23" Type="http://schemas.openxmlformats.org/officeDocument/2006/relationships/table" Target="../tables/table54.xml"/><Relationship Id="rId1" Type="http://schemas.openxmlformats.org/officeDocument/2006/relationships/drawing" Target="../drawings/drawing6.xml"/><Relationship Id="rId25" Type="http://schemas.openxmlformats.org/officeDocument/2006/relationships/table" Target="../tables/table56.xml"/><Relationship Id="rId15" Type="http://schemas.openxmlformats.org/officeDocument/2006/relationships/table" Target="../tables/table46.xml"/><Relationship Id="rId14" Type="http://schemas.openxmlformats.org/officeDocument/2006/relationships/table" Target="../tables/table45.xml"/><Relationship Id="rId17" Type="http://schemas.openxmlformats.org/officeDocument/2006/relationships/table" Target="../tables/table48.xml"/><Relationship Id="rId16" Type="http://schemas.openxmlformats.org/officeDocument/2006/relationships/table" Target="../tables/table47.xml"/><Relationship Id="rId19" Type="http://schemas.openxmlformats.org/officeDocument/2006/relationships/table" Target="../tables/table50.xml"/><Relationship Id="rId18" Type="http://schemas.openxmlformats.org/officeDocument/2006/relationships/table" Target="../tables/table4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9" Type="http://schemas.openxmlformats.org/officeDocument/2006/relationships/table" Target="../tables/table60.xml"/><Relationship Id="rId6" Type="http://schemas.openxmlformats.org/officeDocument/2006/relationships/table" Target="../tables/table57.xml"/><Relationship Id="rId7" Type="http://schemas.openxmlformats.org/officeDocument/2006/relationships/table" Target="../tables/table58.xml"/><Relationship Id="rId8" Type="http://schemas.openxmlformats.org/officeDocument/2006/relationships/table" Target="../tables/table5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4">
        <v>2020.0</v>
      </c>
      <c r="C2" s="5"/>
      <c r="D2" s="5"/>
      <c r="E2" s="5"/>
      <c r="F2" s="5"/>
      <c r="G2" s="5"/>
      <c r="H2" s="3"/>
      <c r="I2" s="3"/>
      <c r="J2" s="6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7"/>
      <c r="C3" s="3"/>
      <c r="D3" s="3"/>
      <c r="E3" s="3"/>
      <c r="F3" s="3"/>
      <c r="G3" s="3"/>
      <c r="H3" s="3"/>
      <c r="I3" s="3"/>
      <c r="J3" s="6" t="s">
        <v>4</v>
      </c>
      <c r="K3" s="6" t="s">
        <v>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 t="s">
        <v>6</v>
      </c>
      <c r="B4" s="9"/>
      <c r="C4" s="9"/>
      <c r="D4" s="10"/>
      <c r="E4" s="3"/>
      <c r="F4" s="11" t="s">
        <v>7</v>
      </c>
      <c r="G4" s="12"/>
      <c r="H4" s="12"/>
      <c r="I4" s="13"/>
      <c r="J4" s="3"/>
      <c r="K4" s="6" t="s">
        <v>8</v>
      </c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/>
      <c r="B5" s="16" t="s">
        <v>9</v>
      </c>
      <c r="C5" s="16" t="s">
        <v>10</v>
      </c>
      <c r="D5" s="16" t="s">
        <v>11</v>
      </c>
      <c r="E5" s="14"/>
      <c r="F5" s="17"/>
      <c r="G5" s="16" t="s">
        <v>12</v>
      </c>
      <c r="H5" s="11" t="s">
        <v>11</v>
      </c>
      <c r="I5" s="13"/>
      <c r="J5" s="3"/>
      <c r="K5" s="6" t="s">
        <v>13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8">
        <v>1.0</v>
      </c>
      <c r="B6" s="19" t="s">
        <v>14</v>
      </c>
      <c r="C6" s="20" t="s">
        <v>15</v>
      </c>
      <c r="D6" s="20" t="s">
        <v>16</v>
      </c>
      <c r="E6" s="21"/>
      <c r="F6" s="22">
        <v>1.0</v>
      </c>
      <c r="G6" s="23" t="s">
        <v>14</v>
      </c>
      <c r="H6" s="24" t="s">
        <v>17</v>
      </c>
      <c r="I6" s="2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8">
        <v>2.0</v>
      </c>
      <c r="B7" s="20" t="s">
        <v>14</v>
      </c>
      <c r="C7" s="20" t="s">
        <v>18</v>
      </c>
      <c r="D7" s="20" t="s">
        <v>19</v>
      </c>
      <c r="E7" s="21"/>
      <c r="F7" s="26">
        <v>2.0</v>
      </c>
      <c r="G7" s="20"/>
      <c r="H7" s="25"/>
      <c r="I7" s="25"/>
      <c r="J7" s="27" t="s">
        <v>20</v>
      </c>
      <c r="K7" s="6" t="s">
        <v>21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8">
        <v>3.0</v>
      </c>
      <c r="B8" s="20" t="s">
        <v>22</v>
      </c>
      <c r="C8" s="20" t="s">
        <v>23</v>
      </c>
      <c r="D8" s="20" t="s">
        <v>24</v>
      </c>
      <c r="E8" s="21"/>
      <c r="F8" s="26">
        <v>3.0</v>
      </c>
      <c r="G8" s="28"/>
      <c r="H8" s="25"/>
      <c r="I8" s="25"/>
      <c r="J8" s="21"/>
      <c r="K8" s="6" t="s">
        <v>25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8">
        <v>4.0</v>
      </c>
      <c r="B9" s="20" t="s">
        <v>26</v>
      </c>
      <c r="C9" s="20" t="s">
        <v>15</v>
      </c>
      <c r="D9" s="20" t="s">
        <v>27</v>
      </c>
      <c r="E9" s="21"/>
      <c r="F9" s="26">
        <v>4.0</v>
      </c>
      <c r="G9" s="28"/>
      <c r="H9" s="25"/>
      <c r="I9" s="25"/>
      <c r="J9" s="2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8">
        <v>5.0</v>
      </c>
      <c r="B10" s="20" t="s">
        <v>28</v>
      </c>
      <c r="C10" s="20" t="s">
        <v>29</v>
      </c>
      <c r="D10" s="20" t="s">
        <v>30</v>
      </c>
      <c r="E10" s="21"/>
      <c r="F10" s="26">
        <v>5.0</v>
      </c>
      <c r="G10" s="28"/>
      <c r="H10" s="29"/>
      <c r="I10" s="29"/>
      <c r="J10" s="27" t="s">
        <v>31</v>
      </c>
      <c r="K10" s="6" t="s">
        <v>32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8">
        <v>6.0</v>
      </c>
      <c r="B11" s="20"/>
      <c r="C11" s="20"/>
      <c r="D11" s="20"/>
      <c r="E11" s="21"/>
      <c r="F11" s="26">
        <v>6.0</v>
      </c>
      <c r="G11" s="30"/>
      <c r="H11" s="29"/>
      <c r="I11" s="29"/>
      <c r="J11" s="21"/>
      <c r="K11" s="6" t="s">
        <v>33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8">
        <v>7.0</v>
      </c>
      <c r="B12" s="20"/>
      <c r="C12" s="30"/>
      <c r="D12" s="30"/>
      <c r="E12" s="21"/>
      <c r="F12" s="26">
        <v>7.0</v>
      </c>
      <c r="G12" s="30"/>
      <c r="H12" s="29"/>
      <c r="I12" s="29"/>
      <c r="J12" s="21"/>
      <c r="K12" s="6" t="s">
        <v>34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8">
        <v>8.0</v>
      </c>
      <c r="B13" s="30"/>
      <c r="C13" s="30"/>
      <c r="D13" s="30"/>
      <c r="E13" s="21"/>
      <c r="F13" s="26">
        <v>8.0</v>
      </c>
      <c r="G13" s="30"/>
      <c r="H13" s="29"/>
      <c r="I13" s="29"/>
      <c r="J13" s="21"/>
      <c r="K13" s="31" t="s">
        <v>35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8">
        <v>9.0</v>
      </c>
      <c r="B14" s="30"/>
      <c r="C14" s="30"/>
      <c r="D14" s="30"/>
      <c r="E14" s="21"/>
      <c r="F14" s="26">
        <v>9.0</v>
      </c>
      <c r="G14" s="30"/>
      <c r="H14" s="29"/>
      <c r="I14" s="29"/>
      <c r="J14" s="21"/>
      <c r="K14" s="6" t="s">
        <v>36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8">
        <v>10.0</v>
      </c>
      <c r="B15" s="30"/>
      <c r="C15" s="30"/>
      <c r="D15" s="30"/>
      <c r="E15" s="21"/>
      <c r="F15" s="26">
        <v>10.0</v>
      </c>
      <c r="G15" s="30"/>
      <c r="H15" s="29"/>
      <c r="I15" s="29"/>
      <c r="J15" s="21"/>
      <c r="K15" s="6" t="s">
        <v>37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8">
        <v>11.0</v>
      </c>
      <c r="B16" s="30"/>
      <c r="C16" s="30"/>
      <c r="D16" s="30"/>
      <c r="E16" s="21"/>
      <c r="F16" s="26">
        <v>11.0</v>
      </c>
      <c r="G16" s="30"/>
      <c r="H16" s="29"/>
      <c r="I16" s="29"/>
      <c r="J16" s="21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8">
        <v>12.0</v>
      </c>
      <c r="B17" s="30"/>
      <c r="C17" s="30"/>
      <c r="D17" s="30"/>
      <c r="E17" s="21"/>
      <c r="F17" s="26">
        <v>12.0</v>
      </c>
      <c r="G17" s="30"/>
      <c r="H17" s="29"/>
      <c r="I17" s="29"/>
      <c r="J17" s="21"/>
      <c r="K17" s="32"/>
      <c r="L17" s="3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8">
        <v>13.0</v>
      </c>
      <c r="B18" s="30"/>
      <c r="C18" s="30"/>
      <c r="D18" s="30"/>
      <c r="E18" s="21"/>
      <c r="F18" s="26">
        <v>13.0</v>
      </c>
      <c r="G18" s="30"/>
      <c r="H18" s="29"/>
      <c r="I18" s="29"/>
      <c r="J18" s="21"/>
      <c r="K18" s="3"/>
      <c r="L18" s="3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8">
        <v>14.0</v>
      </c>
      <c r="B19" s="30"/>
      <c r="C19" s="30"/>
      <c r="D19" s="30"/>
      <c r="E19" s="21"/>
      <c r="F19" s="26">
        <v>14.0</v>
      </c>
      <c r="G19" s="30"/>
      <c r="H19" s="29"/>
      <c r="I19" s="29"/>
      <c r="J19" s="2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8">
        <v>15.0</v>
      </c>
      <c r="B20" s="30"/>
      <c r="C20" s="30"/>
      <c r="D20" s="30"/>
      <c r="E20" s="21"/>
      <c r="F20" s="26">
        <v>15.0</v>
      </c>
      <c r="G20" s="30"/>
      <c r="H20" s="29"/>
      <c r="I20" s="29"/>
      <c r="J20" s="21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8">
        <v>16.0</v>
      </c>
      <c r="B21" s="20"/>
      <c r="C21" s="30"/>
      <c r="D21" s="30"/>
      <c r="E21" s="21"/>
      <c r="F21" s="26">
        <v>16.0</v>
      </c>
      <c r="G21" s="30"/>
      <c r="H21" s="29"/>
      <c r="I21" s="29"/>
      <c r="J21" s="2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8">
        <v>17.0</v>
      </c>
      <c r="B22" s="30"/>
      <c r="C22" s="30"/>
      <c r="D22" s="30"/>
      <c r="E22" s="21"/>
      <c r="F22" s="26">
        <v>17.0</v>
      </c>
      <c r="G22" s="30"/>
      <c r="H22" s="29"/>
      <c r="I22" s="29"/>
      <c r="J22" s="2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8">
        <v>18.0</v>
      </c>
      <c r="B23" s="30"/>
      <c r="C23" s="30"/>
      <c r="D23" s="30"/>
      <c r="E23" s="21"/>
      <c r="F23" s="26">
        <v>18.0</v>
      </c>
      <c r="G23" s="30"/>
      <c r="H23" s="29"/>
      <c r="I23" s="29"/>
      <c r="J23" s="2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8">
        <v>19.0</v>
      </c>
      <c r="B24" s="30"/>
      <c r="C24" s="30"/>
      <c r="D24" s="30"/>
      <c r="E24" s="21"/>
      <c r="F24" s="26">
        <v>19.0</v>
      </c>
      <c r="G24" s="30"/>
      <c r="H24" s="29"/>
      <c r="I24" s="29"/>
      <c r="J24" s="2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5">
        <v>20.0</v>
      </c>
      <c r="B25" s="36"/>
      <c r="C25" s="36"/>
      <c r="D25" s="36"/>
      <c r="E25" s="21"/>
      <c r="F25" s="37">
        <v>20.0</v>
      </c>
      <c r="G25" s="36"/>
      <c r="H25" s="38"/>
      <c r="I25" s="29"/>
      <c r="J25" s="2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9" t="s">
        <v>38</v>
      </c>
      <c r="V26" s="3"/>
      <c r="W26" s="3"/>
      <c r="X26" s="3"/>
      <c r="Y26" s="3"/>
      <c r="Z26" s="3"/>
    </row>
    <row r="27">
      <c r="V27" s="3"/>
      <c r="W27" s="3"/>
      <c r="X27" s="3"/>
      <c r="Y27" s="3"/>
      <c r="Z27" s="3"/>
    </row>
    <row r="28">
      <c r="A28" s="40" t="s">
        <v>39</v>
      </c>
      <c r="B28" s="41" t="s">
        <v>9</v>
      </c>
      <c r="V28" s="3"/>
      <c r="W28" s="3"/>
      <c r="X28" s="3"/>
      <c r="Y28" s="3"/>
      <c r="Z28" s="3"/>
    </row>
    <row r="29">
      <c r="A29" s="42"/>
      <c r="B29" s="43" t="str">
        <f>IFERROR(__xludf.DUMMYFUNCTION("transpose(query($B$6:$D$25,""select B,D"",0))"),"Nubank")</f>
        <v>Nubank</v>
      </c>
      <c r="C29" s="44" t="str">
        <f>IFERROR(__xludf.DUMMYFUNCTION("""COMPUTED_VALUE"""),"Nubank")</f>
        <v>Nubank</v>
      </c>
      <c r="D29" s="44" t="str">
        <f>IFERROR(__xludf.DUMMYFUNCTION("""COMPUTED_VALUE"""),"Carteira")</f>
        <v>Carteira</v>
      </c>
      <c r="E29" s="44" t="str">
        <f>IFERROR(__xludf.DUMMYFUNCTION("""COMPUTED_VALUE"""),"Banco Do Brasil")</f>
        <v>Banco Do Brasil</v>
      </c>
      <c r="F29" s="44" t="str">
        <f>IFERROR(__xludf.DUMMYFUNCTION("""COMPUTED_VALUE"""),"Rico")</f>
        <v>Rico</v>
      </c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5"/>
      <c r="V29" s="3"/>
      <c r="W29" s="3"/>
      <c r="X29" s="3"/>
      <c r="Y29" s="3"/>
      <c r="Z29" s="3"/>
    </row>
    <row r="30">
      <c r="A30" s="46" t="s">
        <v>11</v>
      </c>
      <c r="B30" s="47" t="str">
        <f>IFERROR(__xludf.DUMMYFUNCTION("""COMPUTED_VALUE"""),"NU")</f>
        <v>NU</v>
      </c>
      <c r="C30" s="48" t="str">
        <f>IFERROR(__xludf.DUMMYFUNCTION("""COMPUTED_VALUE"""),"NP")</f>
        <v>NP</v>
      </c>
      <c r="D30" s="48" t="str">
        <f>IFERROR(__xludf.DUMMYFUNCTION("""COMPUTED_VALUE"""),"CT")</f>
        <v>CT</v>
      </c>
      <c r="E30" s="48" t="str">
        <f>IFERROR(__xludf.DUMMYFUNCTION("""COMPUTED_VALUE"""),"BB")</f>
        <v>BB</v>
      </c>
      <c r="F30" s="48" t="str">
        <f>IFERROR(__xludf.DUMMYFUNCTION("""COMPUTED_VALUE"""),"RC")</f>
        <v>RC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9"/>
      <c r="V30" s="3"/>
      <c r="W30" s="3"/>
      <c r="X30" s="3"/>
      <c r="Y30" s="3"/>
      <c r="Z30" s="3"/>
    </row>
    <row r="31">
      <c r="A31" s="46" t="s">
        <v>40</v>
      </c>
      <c r="B31" s="50">
        <v>357.21</v>
      </c>
      <c r="C31" s="51">
        <v>0.0</v>
      </c>
      <c r="D31" s="51">
        <v>239.85</v>
      </c>
      <c r="E31" s="51">
        <v>120.25</v>
      </c>
      <c r="F31" s="51">
        <v>0.0</v>
      </c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2"/>
      <c r="V31" s="3"/>
      <c r="W31" s="3"/>
      <c r="X31" s="3"/>
      <c r="Y31" s="3"/>
      <c r="Z31" s="3"/>
    </row>
    <row r="32">
      <c r="A32" s="46" t="s">
        <v>41</v>
      </c>
      <c r="B32" s="53">
        <f>IFERROR(__xludf.DUMMYFUNCTION("if(isblank(B$30),"""",iferror(B$31+iferror(sum(query(Entrada!$E$3:$G$505,""select E where F = '""&amp;B$29&amp;""' and G = '""&amp;B$30&amp;""'"")),0)-iferror(sum(query('Saída'!$E$3:$G$505,""select E where F = '""&amp;B$29&amp;""' and G = '""&amp;B$30&amp;""'"")),0)-iferror(sum(query('M"&amp;"ovimentação'!$E$3:$I$505,""select E where F = '""&amp;B$29&amp;""' and H = '""&amp;B$30&amp;""'"")),0)+iferror(sum(query('Movimentação'!$E$3:$I$505,""select E where G = '""&amp;B$29&amp;""' and I = '""&amp;B$30&amp;""'"")),0),0))"),260.7000000000007)</f>
        <v>260.7</v>
      </c>
      <c r="C32" s="54">
        <f>IFERROR(__xludf.DUMMYFUNCTION("if(isblank(C$30),"""",iferror(C$31+iferror(sum(query(Entrada!$E$3:$G$505,""select E where F = '""&amp;C$29&amp;""' and G = '""&amp;C$30&amp;""'"")),0)-iferror(sum(query('Saída'!$E$3:$G$505,""select E where F = '""&amp;C$29&amp;""' and G = '""&amp;C$30&amp;""'"")),0)-iferror(sum(query('M"&amp;"ovimentação'!$E$3:$I$505,""select E where F = '""&amp;C$29&amp;""' and H = '""&amp;C$30&amp;""'"")),0)+iferror(sum(query('Movimentação'!$E$3:$I$505,""select E where G = '""&amp;C$29&amp;""' and I = '""&amp;C$30&amp;""'"")),0),0))"),600.05)</f>
        <v>600.05</v>
      </c>
      <c r="D32" s="54">
        <f>IFERROR(__xludf.DUMMYFUNCTION("if(isblank(D$30),"""",iferror(D$31+iferror(sum(query(Entrada!$E$3:$G$505,""select E where F = '""&amp;D$29&amp;""' and G = '""&amp;D$30&amp;""'"")),0)-iferror(sum(query('Saída'!$E$3:$G$505,""select E where F = '""&amp;D$29&amp;""' and G = '""&amp;D$30&amp;""'"")),0)-iferror(sum(query('M"&amp;"ovimentação'!$E$3:$I$505,""select E where F = '""&amp;D$29&amp;""' and H = '""&amp;D$30&amp;""'"")),0)+iferror(sum(query('Movimentação'!$E$3:$I$505,""select E where G = '""&amp;D$29&amp;""' and I = '""&amp;D$30&amp;""'"")),0),0))"),-2.2737367544323206E-13)</f>
        <v>0</v>
      </c>
      <c r="E32" s="54">
        <f>IFERROR(__xludf.DUMMYFUNCTION("if(isblank(E$30),"""",iferror(E$31+iferror(sum(query(Entrada!$E$3:$G$505,""select E where F = '""&amp;E$29&amp;""' and G = '""&amp;E$30&amp;""'"")),0)-iferror(sum(query('Saída'!$E$3:$G$505,""select E where F = '""&amp;E$29&amp;""' and G = '""&amp;E$30&amp;""'"")),0)-iferror(sum(query('M"&amp;"ovimentação'!$E$3:$I$505,""select E where F = '""&amp;E$29&amp;""' and H = '""&amp;E$30&amp;""'"")),0)+iferror(sum(query('Movimentação'!$E$3:$I$505,""select E where G = '""&amp;E$29&amp;""' and I = '""&amp;E$30&amp;""'"")),0),0))"),-3.410605131648481E-12)</f>
        <v>0</v>
      </c>
      <c r="F32" s="54">
        <f>IFERROR(__xludf.DUMMYFUNCTION("if(isblank(F$30),"""",iferror(F$31+iferror(sum(query(Entrada!$E$3:$G$505,""select E where F = '""&amp;F$29&amp;""' and G = '""&amp;F$30&amp;""'"")),0)-iferror(sum(query('Saída'!$E$3:$G$505,""select E where F = '""&amp;F$29&amp;""' and G = '""&amp;F$30&amp;""'"")),0)-iferror(sum(query('M"&amp;"ovimentação'!$E$3:$I$505,""select E where F = '""&amp;F$29&amp;""' and H = '""&amp;F$30&amp;""'"")),0)+iferror(sum(query('Movimentação'!$E$3:$I$505,""select E where G = '""&amp;F$29&amp;""' and I = '""&amp;F$30&amp;""'"")),0),0))"),4173.28)</f>
        <v>4173.28</v>
      </c>
      <c r="G32" s="54" t="str">
        <f>IFERROR(__xludf.DUMMYFUNCTION("if(isblank(G$30),"""",iferror(G$31+iferror(sum(query(Entrada!$E$3:$G$505,""select E where F = '""&amp;G$29&amp;""' and G = '""&amp;G$30&amp;""'"")),0)-iferror(sum(query('Saída'!$E$3:$G$505,""select E where F = '""&amp;G$29&amp;""' and G = '""&amp;G$30&amp;""'"")),0)-iferror(sum(query('M"&amp;"ovimentação'!$E$3:$I$505,""select E where F = '""&amp;G$29&amp;""' and H = '""&amp;G$30&amp;""'"")),0)+iferror(sum(query('Movimentação'!$E$3:$I$505,""select E where G = '""&amp;G$29&amp;""' and I = '""&amp;G$30&amp;""'"")),0),0))"),"")</f>
        <v/>
      </c>
      <c r="H32" s="54" t="str">
        <f>IFERROR(__xludf.DUMMYFUNCTION("if(isblank(H$30),"""",iferror(H$31+iferror(sum(query(Entrada!$E$3:$G$505,""select E where F = '""&amp;H$29&amp;""' and G = '""&amp;H$30&amp;""'"")),0)-iferror(sum(query('Saída'!$E$3:$G$505,""select E where F = '""&amp;H$29&amp;""' and G = '""&amp;H$30&amp;""'"")),0)-iferror(sum(query('M"&amp;"ovimentação'!$E$3:$I$505,""select E where F = '""&amp;H$29&amp;""' and H = '""&amp;H$30&amp;""'"")),0)+iferror(sum(query('Movimentação'!$E$3:$I$505,""select E where G = '""&amp;H$29&amp;""' and I = '""&amp;H$30&amp;""'"")),0),0))"),"")</f>
        <v/>
      </c>
      <c r="I32" s="54" t="str">
        <f>IFERROR(__xludf.DUMMYFUNCTION("if(isblank(I$30),"""",iferror(I$31+iferror(sum(query(Entrada!$E$3:$G$505,""select E where F = '""&amp;I$29&amp;""' and G = '""&amp;I$30&amp;""'"")),0)-iferror(sum(query('Saída'!$E$3:$G$505,""select E where F = '""&amp;I$29&amp;""' and G = '""&amp;I$30&amp;""'"")),0)-iferror(sum(query('M"&amp;"ovimentação'!$E$3:$I$505,""select E where F = '""&amp;I$29&amp;""' and H = '""&amp;I$30&amp;""'"")),0)+iferror(sum(query('Movimentação'!$E$3:$I$505,""select E where G = '""&amp;I$29&amp;""' and I = '""&amp;I$30&amp;""'"")),0),0))"),"")</f>
        <v/>
      </c>
      <c r="J32" s="54" t="str">
        <f>IFERROR(__xludf.DUMMYFUNCTION("if(isblank(J$30),"""",iferror(J$31+iferror(sum(query(Entrada!$E$3:$G$505,""select E where F = '""&amp;J$29&amp;""' and G = '""&amp;J$30&amp;""'"")),0)-iferror(sum(query('Saída'!$E$3:$G$505,""select E where F = '""&amp;J$29&amp;""' and G = '""&amp;J$30&amp;""'"")),0)-iferror(sum(query('M"&amp;"ovimentação'!$E$3:$I$505,""select E where F = '""&amp;J$29&amp;""' and H = '""&amp;J$30&amp;""'"")),0)+iferror(sum(query('Movimentação'!$E$3:$I$505,""select E where G = '""&amp;J$29&amp;""' and I = '""&amp;J$30&amp;""'"")),0),0))"),"")</f>
        <v/>
      </c>
      <c r="K32" s="54" t="str">
        <f>IFERROR(__xludf.DUMMYFUNCTION("if(isblank(K$30),"""",iferror(K$31+iferror(sum(query(Entrada!$E$3:$G$505,""select E where F = '""&amp;K$29&amp;""' and G = '""&amp;K$30&amp;""'"")),0)-iferror(sum(query('Saída'!$E$3:$G$505,""select E where F = '""&amp;K$29&amp;""' and G = '""&amp;K$30&amp;""'"")),0)-iferror(sum(query('M"&amp;"ovimentação'!$E$3:$I$505,""select E where F = '""&amp;K$29&amp;""' and H = '""&amp;K$30&amp;""'"")),0)+iferror(sum(query('Movimentação'!$E$3:$I$505,""select E where G = '""&amp;K$29&amp;""' and I = '""&amp;K$30&amp;""'"")),0),0))"),"")</f>
        <v/>
      </c>
      <c r="L32" s="54" t="str">
        <f>IFERROR(__xludf.DUMMYFUNCTION("if(isblank(L$30),"""",iferror(L$31+iferror(sum(query(Entrada!$E$3:$G$505,""select E where F = '""&amp;L$29&amp;""' and G = '""&amp;L$30&amp;""'"")),0)-iferror(sum(query('Saída'!$E$3:$G$505,""select E where F = '""&amp;L$29&amp;""' and G = '""&amp;L$30&amp;""'"")),0)-iferror(sum(query('M"&amp;"ovimentação'!$E$3:$I$505,""select E where F = '""&amp;L$29&amp;""' and H = '""&amp;L$30&amp;""'"")),0)+iferror(sum(query('Movimentação'!$E$3:$I$505,""select E where G = '""&amp;L$29&amp;""' and I = '""&amp;L$30&amp;""'"")),0),0))"),"")</f>
        <v/>
      </c>
      <c r="M32" s="54" t="str">
        <f>IFERROR(__xludf.DUMMYFUNCTION("if(isblank(M$30),"""",iferror(M$31+iferror(sum(query(Entrada!$E$3:$G$505,""select E where F = '""&amp;M$29&amp;""' and G = '""&amp;M$30&amp;""'"")),0)-iferror(sum(query('Saída'!$E$3:$G$505,""select E where F = '""&amp;M$29&amp;""' and G = '""&amp;M$30&amp;""'"")),0)-iferror(sum(query('M"&amp;"ovimentação'!$E$3:$I$505,""select E where F = '""&amp;M$29&amp;""' and H = '""&amp;M$30&amp;""'"")),0)+iferror(sum(query('Movimentação'!$E$3:$I$505,""select E where G = '""&amp;M$29&amp;""' and I = '""&amp;M$30&amp;""'"")),0),0))"),"")</f>
        <v/>
      </c>
      <c r="N32" s="54" t="str">
        <f>IFERROR(__xludf.DUMMYFUNCTION("if(isblank(N$30),"""",iferror(N$31+iferror(sum(query(Entrada!$E$3:$G$505,""select E where F = '""&amp;N$29&amp;""' and G = '""&amp;N$30&amp;""'"")),0)-iferror(sum(query('Saída'!$E$3:$G$505,""select E where F = '""&amp;N$29&amp;""' and G = '""&amp;N$30&amp;""'"")),0)-iferror(sum(query('M"&amp;"ovimentação'!$E$3:$I$505,""select E where F = '""&amp;N$29&amp;""' and H = '""&amp;N$30&amp;""'"")),0)+iferror(sum(query('Movimentação'!$E$3:$I$505,""select E where G = '""&amp;N$29&amp;""' and I = '""&amp;N$30&amp;""'"")),0),0))"),"")</f>
        <v/>
      </c>
      <c r="O32" s="54" t="str">
        <f>IFERROR(__xludf.DUMMYFUNCTION("if(isblank(O$30),"""",iferror(O$31+iferror(sum(query(Entrada!$E$3:$G$505,""select E where F = '""&amp;O$29&amp;""' and G = '""&amp;O$30&amp;""'"")),0)-iferror(sum(query('Saída'!$E$3:$G$505,""select E where F = '""&amp;O$29&amp;""' and G = '""&amp;O$30&amp;""'"")),0)-iferror(sum(query('M"&amp;"ovimentação'!$E$3:$I$505,""select E where F = '""&amp;O$29&amp;""' and H = '""&amp;O$30&amp;""'"")),0)+iferror(sum(query('Movimentação'!$E$3:$I$505,""select E where G = '""&amp;O$29&amp;""' and I = '""&amp;O$30&amp;""'"")),0),0))"),"")</f>
        <v/>
      </c>
      <c r="P32" s="54" t="str">
        <f>IFERROR(__xludf.DUMMYFUNCTION("if(isblank(P$30),"""",iferror(P$31+iferror(sum(query(Entrada!$E$3:$G$505,""select E where F = '""&amp;P$29&amp;""' and G = '""&amp;P$30&amp;""'"")),0)-iferror(sum(query('Saída'!$E$3:$G$505,""select E where F = '""&amp;P$29&amp;""' and G = '""&amp;P$30&amp;""'"")),0)-iferror(sum(query('M"&amp;"ovimentação'!$E$3:$I$505,""select E where F = '""&amp;P$29&amp;""' and H = '""&amp;P$30&amp;""'"")),0)+iferror(sum(query('Movimentação'!$E$3:$I$505,""select E where G = '""&amp;P$29&amp;""' and I = '""&amp;P$30&amp;""'"")),0),0))"),"")</f>
        <v/>
      </c>
      <c r="Q32" s="54" t="str">
        <f>IFERROR(__xludf.DUMMYFUNCTION("if(isblank(Q$30),"""",iferror(Q$31+iferror(sum(query(Entrada!$E$3:$G$505,""select E where F = '""&amp;Q$29&amp;""' and G = '""&amp;Q$30&amp;""'"")),0)-iferror(sum(query('Saída'!$E$3:$G$505,""select E where F = '""&amp;Q$29&amp;""' and G = '""&amp;Q$30&amp;""'"")),0)-iferror(sum(query('M"&amp;"ovimentação'!$E$3:$I$505,""select E where F = '""&amp;Q$29&amp;""' and H = '""&amp;Q$30&amp;""'"")),0)+iferror(sum(query('Movimentação'!$E$3:$I$505,""select E where G = '""&amp;Q$29&amp;""' and I = '""&amp;Q$30&amp;""'"")),0),0))"),"")</f>
        <v/>
      </c>
      <c r="R32" s="54" t="str">
        <f>IFERROR(__xludf.DUMMYFUNCTION("if(isblank(R$30),"""",iferror(R$31+iferror(sum(query(Entrada!$E$3:$G$505,""select E where F = '""&amp;R$29&amp;""' and G = '""&amp;R$30&amp;""'"")),0)-iferror(sum(query('Saída'!$E$3:$G$505,""select E where F = '""&amp;R$29&amp;""' and G = '""&amp;R$30&amp;""'"")),0)-iferror(sum(query('M"&amp;"ovimentação'!$E$3:$I$505,""select E where F = '""&amp;R$29&amp;""' and H = '""&amp;R$30&amp;""'"")),0)+iferror(sum(query('Movimentação'!$E$3:$I$505,""select E where G = '""&amp;R$29&amp;""' and I = '""&amp;R$30&amp;""'"")),0),0))"),"")</f>
        <v/>
      </c>
      <c r="S32" s="54" t="str">
        <f>IFERROR(__xludf.DUMMYFUNCTION("if(isblank(S$30),"""",iferror(S$31+iferror(sum(query(Entrada!$E$3:$G$505,""select E where F = '""&amp;S$29&amp;""' and G = '""&amp;S$30&amp;""'"")),0)-iferror(sum(query('Saída'!$E$3:$G$505,""select E where F = '""&amp;S$29&amp;""' and G = '""&amp;S$30&amp;""'"")),0)-iferror(sum(query('M"&amp;"ovimentação'!$E$3:$I$505,""select E where F = '""&amp;S$29&amp;""' and H = '""&amp;S$30&amp;""'"")),0)+iferror(sum(query('Movimentação'!$E$3:$I$505,""select E where G = '""&amp;S$29&amp;""' and I = '""&amp;S$30&amp;""'"")),0),0))"),"")</f>
        <v/>
      </c>
      <c r="T32" s="54" t="str">
        <f>IFERROR(__xludf.DUMMYFUNCTION("if(isblank(T$30),"""",iferror(T$31+iferror(sum(query(Entrada!$E$3:$G$505,""select E where F = '""&amp;T$29&amp;""' and G = '""&amp;T$30&amp;""'"")),0)-iferror(sum(query('Saída'!$E$3:$G$505,""select E where F = '""&amp;T$29&amp;""' and G = '""&amp;T$30&amp;""'"")),0)-iferror(sum(query('M"&amp;"ovimentação'!$E$3:$I$505,""select E where F = '""&amp;T$29&amp;""' and H = '""&amp;T$30&amp;""'"")),0)+iferror(sum(query('Movimentação'!$E$3:$I$505,""select E where G = '""&amp;T$29&amp;""' and I = '""&amp;T$30&amp;""'"")),0),0))"),"")</f>
        <v/>
      </c>
      <c r="U32" s="55" t="str">
        <f>IFERROR(__xludf.DUMMYFUNCTION("if(isblank(U$30),"""",iferror(U$31+iferror(sum(query(Entrada!$E$3:$G$505,""select E where F = '""&amp;U$29&amp;""' and G = '""&amp;U$30&amp;""'"")),0)-iferror(sum(query('Saída'!$E$3:$G$505,""select E where F = '""&amp;U$29&amp;""' and G = '""&amp;U$30&amp;""'"")),0)-iferror(sum(query('M"&amp;"ovimentação'!$E$3:$I$505,""select E where F = '""&amp;U$29&amp;""' and H = '""&amp;U$30&amp;""'"")),0)+iferror(sum(query('Movimentação'!$E$3:$I$505,""select E where G = '""&amp;U$29&amp;""' and I = '""&amp;U$30&amp;""'"")),0),0))"),"")</f>
        <v/>
      </c>
      <c r="V32" s="3"/>
      <c r="W32" s="3"/>
      <c r="X32" s="3"/>
      <c r="Y32" s="3"/>
      <c r="Z32" s="3"/>
    </row>
    <row r="33">
      <c r="A33" s="39" t="s">
        <v>42</v>
      </c>
      <c r="V33" s="3"/>
      <c r="W33" s="3"/>
      <c r="X33" s="3"/>
      <c r="Y33" s="3"/>
      <c r="Z33" s="3"/>
    </row>
    <row r="34">
      <c r="V34" s="3"/>
      <c r="W34" s="3"/>
      <c r="X34" s="3"/>
      <c r="Y34" s="3"/>
      <c r="Z34" s="3"/>
    </row>
    <row r="35">
      <c r="A35" s="56"/>
      <c r="B35" s="57" t="str">
        <f>IFERROR(__xludf.DUMMYFUNCTION("transpose(unique(query($G$6:$I$25,""select G"",0)))"),"Nubank")</f>
        <v>Nubank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3"/>
      <c r="W35" s="3"/>
      <c r="X35" s="3"/>
      <c r="Y35" s="3"/>
      <c r="Z35" s="3"/>
    </row>
    <row r="36">
      <c r="A36" s="46" t="s">
        <v>11</v>
      </c>
      <c r="B36" s="58" t="s">
        <v>17</v>
      </c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60"/>
      <c r="V36" s="3"/>
      <c r="W36" s="3"/>
      <c r="X36" s="3"/>
      <c r="Y36" s="3"/>
      <c r="Z36" s="3"/>
    </row>
    <row r="37">
      <c r="A37" s="46" t="s">
        <v>40</v>
      </c>
      <c r="B37" s="61">
        <v>-1619.18</v>
      </c>
      <c r="C37" s="62"/>
      <c r="D37" s="62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4"/>
      <c r="V37" s="3"/>
      <c r="W37" s="3"/>
      <c r="X37" s="3"/>
      <c r="Y37" s="3"/>
      <c r="Z37" s="3"/>
    </row>
    <row r="38">
      <c r="A38" s="46" t="s">
        <v>41</v>
      </c>
      <c r="B38" s="65">
        <f>IFERROR(__xludf.DUMMYFUNCTION("if(isblank(B$35),"""",-query('Cartões'!$B$4:$C$24,""select B where C = '""&amp;B$35&amp;""'"",0)+sum(query('Cartões'!$B$103:$O$123,""select B where C = '""&amp;B$36&amp;""'"")))"),-2316.349999999992)</f>
        <v>-2316.35</v>
      </c>
      <c r="C38" s="66" t="str">
        <f>IFERROR(__xludf.DUMMYFUNCTION("if(isblank(C$35),"""",-query('Cartões'!$B$4:$C$24,""select A where B = '""&amp;C$35&amp;""'"",0)+C$37+sum(query('Saída'!$B$3:$G$505,""select E where F = '""&amp;C$29&amp;""' and B = 'Fatura'"")))"),"  ")</f>
        <v/>
      </c>
      <c r="D38" s="66" t="str">
        <f>IFERROR(__xludf.DUMMYFUNCTION("if(isblank(D$35),"""",-query('Cartões'!$B$4:$C$24,""select A where B = '""&amp;D$35&amp;""'"",0)+D$37+sum(query('Saída'!$B$3:$G$505,""select E where F = '""&amp;D$29&amp;""' and B = 'Fatura'"")))"),"  ")</f>
        <v/>
      </c>
      <c r="E38" s="66" t="str">
        <f>IFERROR(__xludf.DUMMYFUNCTION("if(isblank(E$35),"""",-query('Cartões'!$B$4:$C$24,""select A where B = '""&amp;E$35&amp;""'"",0)+E$37+sum(query('Saída'!$B$3:$G$505,""select E where F = '""&amp;E$29&amp;""' and B = 'Fatura'"")))"),"  ")</f>
        <v/>
      </c>
      <c r="F38" s="66" t="str">
        <f>IFERROR(__xludf.DUMMYFUNCTION("if(isblank(F$35),"""",-query('Cartões'!$B$4:$C$24,""select A where B = '""&amp;F$35&amp;""'"",0)+F$37+sum(query('Saída'!$B$3:$G$505,""select E where F = '""&amp;F$29&amp;""' and B = 'Fatura'"")))"),"  ")</f>
        <v/>
      </c>
      <c r="G38" s="66" t="str">
        <f>IFERROR(__xludf.DUMMYFUNCTION("if(isblank(G$35),"""",-query('Cartões'!$B$4:$C$24,""select A where B = '""&amp;G$35&amp;""'"",0)+G$37+sum(query('Saída'!$B$3:$G$505,""select E where F = '""&amp;G$29&amp;""' and B = 'Fatura'"")))"),"  ")</f>
        <v/>
      </c>
      <c r="H38" s="66" t="str">
        <f>IFERROR(__xludf.DUMMYFUNCTION("if(isblank(H$35),"""",-query('Cartões'!$B$4:$C$24,""select A where B = '""&amp;H$35&amp;""'"",0)+H$37+sum(query('Saída'!$B$3:$G$505,""select E where F = '""&amp;H$29&amp;""' and B = 'Fatura'"")))"),"  ")</f>
        <v/>
      </c>
      <c r="I38" s="66" t="str">
        <f>IFERROR(__xludf.DUMMYFUNCTION("if(isblank(I$35),"""",-query('Cartões'!$B$4:$C$24,""select A where B = '""&amp;I$35&amp;""'"",0)+I$37+sum(query('Saída'!$B$3:$G$505,""select E where F = '""&amp;I$29&amp;""' and B = 'Fatura'"")))"),"  ")</f>
        <v/>
      </c>
      <c r="J38" s="66" t="str">
        <f>IFERROR(__xludf.DUMMYFUNCTION("if(isblank(J$35),"""",-query('Cartões'!$B$4:$C$24,""select A where B = '""&amp;J$35&amp;""'"",0)+J$37+sum(query('Saída'!$B$3:$G$505,""select E where F = '""&amp;J$29&amp;""' and B = 'Fatura'"")))"),"  ")</f>
        <v/>
      </c>
      <c r="K38" s="66" t="str">
        <f>IFERROR(__xludf.DUMMYFUNCTION("if(isblank(K$35),"""",-query('Cartões'!$B$4:$C$24,""select A where B = '""&amp;K$35&amp;""'"",0)+K$37+sum(query('Saída'!$B$3:$G$505,""select E where F = '""&amp;K$29&amp;""' and B = 'Fatura'"")))"),"  ")</f>
        <v/>
      </c>
      <c r="L38" s="66" t="str">
        <f>IFERROR(__xludf.DUMMYFUNCTION("if(isblank(L$35),"""",-query('Cartões'!$B$4:$C$24,""select A where B = '""&amp;L$35&amp;""'"",0)+L$37+sum(query('Saída'!$B$3:$G$505,""select E where F = '""&amp;L$29&amp;""' and B = 'Fatura'"")))"),"  ")</f>
        <v/>
      </c>
      <c r="M38" s="66" t="str">
        <f>IFERROR(__xludf.DUMMYFUNCTION("if(isblank(M$35),"""",-query('Cartões'!$B$4:$C$24,""select A where B = '""&amp;M$35&amp;""'"",0)+M$37+sum(query('Saída'!$B$3:$G$505,""select E where F = '""&amp;M$29&amp;""' and B = 'Fatura'"")))"),"  ")</f>
        <v/>
      </c>
      <c r="N38" s="66" t="str">
        <f>IFERROR(__xludf.DUMMYFUNCTION("if(isblank(N$35),"""",-query('Cartões'!$B$4:$C$24,""select A where B = '""&amp;N$35&amp;""'"",0)+N$37+sum(query('Saída'!$B$3:$G$505,""select E where F = '""&amp;N$29&amp;""' and B = 'Fatura'"")))"),"  ")</f>
        <v/>
      </c>
      <c r="O38" s="66" t="str">
        <f>IFERROR(__xludf.DUMMYFUNCTION("if(isblank(O$35),"""",-query('Cartões'!$B$4:$C$24,""select A where B = '""&amp;O$35&amp;""'"",0)+O$37+sum(query('Saída'!$B$3:$G$505,""select E where F = '""&amp;O$29&amp;""' and B = 'Fatura'"")))"),"  ")</f>
        <v/>
      </c>
      <c r="P38" s="66" t="str">
        <f>IFERROR(__xludf.DUMMYFUNCTION("if(isblank(P$35),"""",-query('Cartões'!$B$4:$C$24,""select A where B = '""&amp;P$35&amp;""'"",0)+P$37+sum(query('Saída'!$B$3:$G$505,""select E where F = '""&amp;P$29&amp;""' and B = 'Fatura'"")))"),"  ")</f>
        <v/>
      </c>
      <c r="Q38" s="66" t="str">
        <f>IFERROR(__xludf.DUMMYFUNCTION("if(isblank(Q$35),"""",-query('Cartões'!$B$4:$C$24,""select A where B = '""&amp;Q$35&amp;""'"",0)+Q$37+sum(query('Saída'!$B$3:$G$505,""select E where F = '""&amp;Q$29&amp;""' and B = 'Fatura'"")))"),"  ")</f>
        <v/>
      </c>
      <c r="R38" s="66" t="str">
        <f>IFERROR(__xludf.DUMMYFUNCTION("if(isblank(R$35),"""",-query('Cartões'!$B$4:$C$24,""select A where B = '""&amp;R$35&amp;""'"",0)+R$37+sum(query('Saída'!$B$3:$G$505,""select E where F = '""&amp;R$29&amp;""' and B = 'Fatura'"")))"),"  ")</f>
        <v/>
      </c>
      <c r="S38" s="66" t="str">
        <f>IFERROR(__xludf.DUMMYFUNCTION("if(isblank(S$35),"""",-query('Cartões'!$B$4:$C$24,""select A where B = '""&amp;S$35&amp;""'"",0)+S$37+sum(query('Saída'!$B$3:$G$505,""select E where F = '""&amp;S$29&amp;""' and B = 'Fatura'"")))"),"  ")</f>
        <v/>
      </c>
      <c r="T38" s="66" t="str">
        <f>IFERROR(__xludf.DUMMYFUNCTION("if(isblank(T$35),"""",-query('Cartões'!$B$4:$C$24,""select A where B = '""&amp;T$35&amp;""'"",0)+T$37+sum(query('Saída'!$B$3:$G$505,""select E where F = '""&amp;T$29&amp;""' and B = 'Fatura'"")))"),"  ")</f>
        <v/>
      </c>
      <c r="U38" s="67" t="str">
        <f>IFERROR(__xludf.DUMMYFUNCTION("if(isblank(U$35),"""",-query('Cartões'!$B$4:$C$24,""select A where B = '""&amp;U$35&amp;""'"",0)+U$37+sum(query('Saída'!$B$3:$G$505,""select E where F = '""&amp;U$29&amp;""' and B = 'Fatura'"")))"),"  ")</f>
        <v/>
      </c>
      <c r="V38" s="3"/>
      <c r="W38" s="3"/>
      <c r="X38" s="3"/>
      <c r="Y38" s="3"/>
      <c r="Z38" s="3"/>
    </row>
    <row r="39">
      <c r="A39" s="46" t="s">
        <v>43</v>
      </c>
      <c r="B39" s="68">
        <v>3600.0</v>
      </c>
      <c r="C39" s="69"/>
      <c r="D39" s="69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7"/>
      <c r="V39" s="3"/>
      <c r="W39" s="3"/>
      <c r="X39" s="3"/>
      <c r="Y39" s="3"/>
      <c r="Z39" s="3"/>
    </row>
    <row r="40">
      <c r="A40" s="46" t="s">
        <v>44</v>
      </c>
      <c r="B40" s="70">
        <f t="shared" ref="B40:U40" si="1">iferror(B$38/B$39,"")</f>
        <v>-0.6434305556</v>
      </c>
      <c r="C40" s="71" t="str">
        <f t="shared" si="1"/>
        <v/>
      </c>
      <c r="D40" s="71" t="str">
        <f t="shared" si="1"/>
        <v/>
      </c>
      <c r="E40" s="71" t="str">
        <f t="shared" si="1"/>
        <v/>
      </c>
      <c r="F40" s="71" t="str">
        <f t="shared" si="1"/>
        <v/>
      </c>
      <c r="G40" s="71" t="str">
        <f t="shared" si="1"/>
        <v/>
      </c>
      <c r="H40" s="71" t="str">
        <f t="shared" si="1"/>
        <v/>
      </c>
      <c r="I40" s="71" t="str">
        <f t="shared" si="1"/>
        <v/>
      </c>
      <c r="J40" s="71" t="str">
        <f t="shared" si="1"/>
        <v/>
      </c>
      <c r="K40" s="71" t="str">
        <f t="shared" si="1"/>
        <v/>
      </c>
      <c r="L40" s="71" t="str">
        <f t="shared" si="1"/>
        <v/>
      </c>
      <c r="M40" s="71" t="str">
        <f t="shared" si="1"/>
        <v/>
      </c>
      <c r="N40" s="71" t="str">
        <f t="shared" si="1"/>
        <v/>
      </c>
      <c r="O40" s="71" t="str">
        <f t="shared" si="1"/>
        <v/>
      </c>
      <c r="P40" s="71" t="str">
        <f t="shared" si="1"/>
        <v/>
      </c>
      <c r="Q40" s="71" t="str">
        <f t="shared" si="1"/>
        <v/>
      </c>
      <c r="R40" s="71" t="str">
        <f t="shared" si="1"/>
        <v/>
      </c>
      <c r="S40" s="71" t="str">
        <f t="shared" si="1"/>
        <v/>
      </c>
      <c r="T40" s="71" t="str">
        <f t="shared" si="1"/>
        <v/>
      </c>
      <c r="U40" s="72" t="str">
        <f t="shared" si="1"/>
        <v/>
      </c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73"/>
      <c r="C44" s="7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6">
    <mergeCell ref="B1:G1"/>
    <mergeCell ref="A4:D4"/>
    <mergeCell ref="F4:H4"/>
    <mergeCell ref="A26:U27"/>
    <mergeCell ref="B28:U28"/>
    <mergeCell ref="A33:U34"/>
  </mergeCells>
  <dataValidations>
    <dataValidation type="list" allowBlank="1" sqref="C6:C25">
      <formula1>Tabelas!$K$13:$K$24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4" t="s">
        <v>45</v>
      </c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>
      <c r="A2" s="75" t="s">
        <v>46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</row>
    <row r="3">
      <c r="A3" s="77"/>
      <c r="B3" s="78" t="s">
        <v>47</v>
      </c>
      <c r="C3" s="78" t="s">
        <v>48</v>
      </c>
      <c r="D3" s="78" t="s">
        <v>49</v>
      </c>
      <c r="E3" s="78" t="s">
        <v>50</v>
      </c>
      <c r="F3" s="78" t="s">
        <v>51</v>
      </c>
      <c r="G3" s="78" t="s">
        <v>52</v>
      </c>
      <c r="H3" s="78" t="s">
        <v>53</v>
      </c>
      <c r="I3" s="78" t="s">
        <v>54</v>
      </c>
      <c r="J3" s="78" t="s">
        <v>55</v>
      </c>
      <c r="K3" s="78" t="s">
        <v>56</v>
      </c>
      <c r="L3" s="78" t="s">
        <v>57</v>
      </c>
      <c r="M3" s="78" t="s">
        <v>58</v>
      </c>
      <c r="N3" s="79" t="s">
        <v>59</v>
      </c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</row>
    <row r="4">
      <c r="A4" s="81" t="str">
        <f>IFERROR(__xludf.DUMMYFUNCTION("unique(QUERY(Tabelas!E13:E52,""select E where E is not null""))"),"Mesada")</f>
        <v>Mesada</v>
      </c>
      <c r="B4" s="82">
        <f>IFERROR(__xludf.DUMMYFUNCTION("if(isblank($A4),"""",iferror(sum(query(Entrada!$A$3:$G$505,""select E where B = '""&amp;$A4&amp;""' and A = '""&amp;B$3&amp;""'"")),0))"),600.0)</f>
        <v>600</v>
      </c>
      <c r="C4" s="82">
        <f>IFERROR(__xludf.DUMMYFUNCTION("if(isblank($A4),"""",iferror(sum(query(Entrada!$A$3:$G$505,""select E where B = '""&amp;$A4&amp;""' and A = '""&amp;C$3&amp;""'"")),0))"),360.0)</f>
        <v>360</v>
      </c>
      <c r="D4" s="82">
        <f>IFERROR(__xludf.DUMMYFUNCTION("if(isblank($A4),"""",iferror(sum(query(Entrada!$A$3:$G$505,""select E where B = '""&amp;$A4&amp;""' and A = '""&amp;D$3&amp;""'"")),0))"),630.0)</f>
        <v>630</v>
      </c>
      <c r="E4" s="82">
        <f>IFERROR(__xludf.DUMMYFUNCTION("if(isblank($A4),"""",iferror(sum(query(Entrada!$A$3:$G$505,""select E where B = '""&amp;$A4&amp;""' and A = '""&amp;E$3&amp;""'"")),0))"),510.0)</f>
        <v>510</v>
      </c>
      <c r="F4" s="82">
        <f>IFERROR(__xludf.DUMMYFUNCTION("if(isblank($A4),"""",iferror(sum(query(Entrada!$A$3:$G$505,""select E where B = '""&amp;$A4&amp;""' and A = '""&amp;F$3&amp;""'"")),0))"),600.0)</f>
        <v>600</v>
      </c>
      <c r="G4" s="82">
        <f>IFERROR(__xludf.DUMMYFUNCTION("if(isblank($A4),"""",iferror(sum(query(Entrada!$A$3:$G$505,""select E where B = '""&amp;$A4&amp;""' and A = '""&amp;G$3&amp;""'"")),0))"),480.0)</f>
        <v>480</v>
      </c>
      <c r="H4" s="82">
        <f>IFERROR(__xludf.DUMMYFUNCTION("if(isblank($A4),"""",iferror(sum(query(Entrada!$A$3:$G$505,""select E where B = '""&amp;$A4&amp;""' and A = '""&amp;H$3&amp;""'"")),0))"),600.0)</f>
        <v>600</v>
      </c>
      <c r="I4" s="82">
        <f>IFERROR(__xludf.DUMMYFUNCTION("if(isblank($A4),"""",iferror(sum(query(Entrada!$A$3:$G$505,""select E where B = '""&amp;$A4&amp;""' and A = '""&amp;I$3&amp;""'"")),0))"),480.0)</f>
        <v>480</v>
      </c>
      <c r="J4" s="82">
        <f>IFERROR(__xludf.DUMMYFUNCTION("if(isblank($A4),"""",iferror(sum(query(Entrada!$A$3:$G$505,""select E where B = '""&amp;$A4&amp;""' and A = '""&amp;J$3&amp;""'"")),0))"),480.0)</f>
        <v>480</v>
      </c>
      <c r="K4" s="82">
        <f>IFERROR(__xludf.DUMMYFUNCTION("if(isblank($A4),"""",iferror(sum(query(Entrada!$A$3:$G$505,""select E where B = '""&amp;$A4&amp;""' and A = '""&amp;K$3&amp;""'"")),0))"),600.0)</f>
        <v>600</v>
      </c>
      <c r="L4" s="82">
        <f>IFERROR(__xludf.DUMMYFUNCTION("if(isblank($A4),"""",iferror(sum(query(Entrada!$A$3:$G$505,""select E where B = '""&amp;$A4&amp;""' and A = '""&amp;L$3&amp;""'"")),0))"),480.0)</f>
        <v>480</v>
      </c>
      <c r="M4" s="82">
        <f>IFERROR(__xludf.DUMMYFUNCTION("if(isblank($A4),"""",iferror(sum(query(Entrada!$A$3:$G$505,""select E where B = '""&amp;$A4&amp;""' and A = '""&amp;M$3&amp;""'"")),0))"),600.0)</f>
        <v>600</v>
      </c>
      <c r="N4" s="82">
        <f t="shared" ref="N4:N20" si="1">if(isblank($A4),"",sum(B4:M4))</f>
        <v>6420</v>
      </c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</row>
    <row r="5">
      <c r="A5" s="81" t="str">
        <f>IFERROR(__xludf.DUMMYFUNCTION("""COMPUTED_VALUE"""),"Salário")</f>
        <v>Salário</v>
      </c>
      <c r="B5" s="82">
        <f>IFERROR(__xludf.DUMMYFUNCTION("if(isblank($A5),"""",iferror(sum(query(Entrada!$A$3:$G$505,""select E where B = '""&amp;$A5&amp;""' and A = '""&amp;B$3&amp;""'"")),0))"),0.0)</f>
        <v>0</v>
      </c>
      <c r="C5" s="82">
        <f>IFERROR(__xludf.DUMMYFUNCTION("if(isblank($A5),"""",iferror(sum(query(Entrada!$A$3:$G$505,""select E where B = '""&amp;$A5&amp;""' and A = '""&amp;C$3&amp;""'"")),0))"),0.0)</f>
        <v>0</v>
      </c>
      <c r="D5" s="82">
        <f>IFERROR(__xludf.DUMMYFUNCTION("if(isblank($A5),"""",iferror(sum(query(Entrada!$A$3:$G$505,""select E where B = '""&amp;$A5&amp;""' and A = '""&amp;D$3&amp;""'"")),0))"),0.0)</f>
        <v>0</v>
      </c>
      <c r="E5" s="82">
        <f>IFERROR(__xludf.DUMMYFUNCTION("if(isblank($A5),"""",iferror(sum(query(Entrada!$A$3:$G$505,""select E where B = '""&amp;$A5&amp;""' and A = '""&amp;E$3&amp;""'"")),0))"),0.0)</f>
        <v>0</v>
      </c>
      <c r="F5" s="82">
        <f>IFERROR(__xludf.DUMMYFUNCTION("if(isblank($A5),"""",iferror(sum(query(Entrada!$A$3:$G$505,""select E where B = '""&amp;$A5&amp;""' and A = '""&amp;F$3&amp;""'"")),0))"),0.0)</f>
        <v>0</v>
      </c>
      <c r="G5" s="82">
        <f>IFERROR(__xludf.DUMMYFUNCTION("if(isblank($A5),"""",iferror(sum(query(Entrada!$A$3:$G$505,""select E where B = '""&amp;$A5&amp;""' and A = '""&amp;G$3&amp;""'"")),0))"),0.0)</f>
        <v>0</v>
      </c>
      <c r="H5" s="82">
        <f>IFERROR(__xludf.DUMMYFUNCTION("if(isblank($A5),"""",iferror(sum(query(Entrada!$A$3:$G$505,""select E where B = '""&amp;$A5&amp;""' and A = '""&amp;H$3&amp;""'"")),0))"),0.0)</f>
        <v>0</v>
      </c>
      <c r="I5" s="82">
        <f>IFERROR(__xludf.DUMMYFUNCTION("if(isblank($A5),"""",iferror(sum(query(Entrada!$A$3:$G$505,""select E where B = '""&amp;$A5&amp;""' and A = '""&amp;I$3&amp;""'"")),0))"),0.0)</f>
        <v>0</v>
      </c>
      <c r="J5" s="82">
        <f>IFERROR(__xludf.DUMMYFUNCTION("if(isblank($A5),"""",iferror(sum(query(Entrada!$A$3:$G$505,""select E where B = '""&amp;$A5&amp;""' and A = '""&amp;J$3&amp;""'"")),0))"),400.0)</f>
        <v>400</v>
      </c>
      <c r="K5" s="82">
        <f>IFERROR(__xludf.DUMMYFUNCTION("if(isblank($A5),"""",iferror(sum(query(Entrada!$A$3:$G$505,""select E where B = '""&amp;$A5&amp;""' and A = '""&amp;K$3&amp;""'"")),0))"),400.0)</f>
        <v>400</v>
      </c>
      <c r="L5" s="82">
        <f>IFERROR(__xludf.DUMMYFUNCTION("if(isblank($A5),"""",iferror(sum(query(Entrada!$A$3:$G$505,""select E where B = '""&amp;$A5&amp;""' and A = '""&amp;L$3&amp;""'"")),0))"),400.0)</f>
        <v>400</v>
      </c>
      <c r="M5" s="82">
        <f>IFERROR(__xludf.DUMMYFUNCTION("if(isblank($A5),"""",iferror(sum(query(Entrada!$A$3:$G$505,""select E where B = '""&amp;$A5&amp;""' and A = '""&amp;M$3&amp;""'"")),0))"),800.0)</f>
        <v>800</v>
      </c>
      <c r="N5" s="82">
        <f t="shared" si="1"/>
        <v>2000</v>
      </c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</row>
    <row r="6">
      <c r="A6" s="81" t="str">
        <f>IFERROR(__xludf.DUMMYFUNCTION("""COMPUTED_VALUE"""),"Rend. Extra")</f>
        <v>Rend. Extra</v>
      </c>
      <c r="B6" s="82">
        <f>IFERROR(__xludf.DUMMYFUNCTION("if(isblank($A6),"""",iferror(sum(query(Entrada!$A$3:$G$505,""select E where B = '""&amp;$A6&amp;""' and A = '""&amp;B$3&amp;""'"")),0))"),92.25)</f>
        <v>92.25</v>
      </c>
      <c r="C6" s="82">
        <f>IFERROR(__xludf.DUMMYFUNCTION("if(isblank($A6),"""",iferror(sum(query(Entrada!$A$3:$G$505,""select E where B = '""&amp;$A6&amp;""' and A = '""&amp;C$3&amp;""'"")),0))"),10.0)</f>
        <v>10</v>
      </c>
      <c r="D6" s="82">
        <f>IFERROR(__xludf.DUMMYFUNCTION("if(isblank($A6),"""",iferror(sum(query(Entrada!$A$3:$G$505,""select E where B = '""&amp;$A6&amp;""' and A = '""&amp;D$3&amp;""'"")),0))"),0.0)</f>
        <v>0</v>
      </c>
      <c r="E6" s="82">
        <f>IFERROR(__xludf.DUMMYFUNCTION("if(isblank($A6),"""",iferror(sum(query(Entrada!$A$3:$G$505,""select E where B = '""&amp;$A6&amp;""' and A = '""&amp;E$3&amp;""'"")),0))"),110.0)</f>
        <v>110</v>
      </c>
      <c r="F6" s="82">
        <f>IFERROR(__xludf.DUMMYFUNCTION("if(isblank($A6),"""",iferror(sum(query(Entrada!$A$3:$G$505,""select E where B = '""&amp;$A6&amp;""' and A = '""&amp;F$3&amp;""'"")),0))"),331.6)</f>
        <v>331.6</v>
      </c>
      <c r="G6" s="82">
        <f>IFERROR(__xludf.DUMMYFUNCTION("if(isblank($A6),"""",iferror(sum(query(Entrada!$A$3:$G$505,""select E where B = '""&amp;$A6&amp;""' and A = '""&amp;G$3&amp;""'"")),0))"),60.0)</f>
        <v>60</v>
      </c>
      <c r="H6" s="82">
        <f>IFERROR(__xludf.DUMMYFUNCTION("if(isblank($A6),"""",iferror(sum(query(Entrada!$A$3:$G$505,""select E where B = '""&amp;$A6&amp;""' and A = '""&amp;H$3&amp;""'"")),0))"),11.0)</f>
        <v>11</v>
      </c>
      <c r="I6" s="82">
        <f>IFERROR(__xludf.DUMMYFUNCTION("if(isblank($A6),"""",iferror(sum(query(Entrada!$A$3:$G$505,""select E where B = '""&amp;$A6&amp;""' and A = '""&amp;I$3&amp;""'"")),0))"),60.0)</f>
        <v>60</v>
      </c>
      <c r="J6" s="82">
        <f>IFERROR(__xludf.DUMMYFUNCTION("if(isblank($A6),"""",iferror(sum(query(Entrada!$A$3:$G$505,""select E where B = '""&amp;$A6&amp;""' and A = '""&amp;J$3&amp;""'"")),0))"),180.0)</f>
        <v>180</v>
      </c>
      <c r="K6" s="82">
        <f>IFERROR(__xludf.DUMMYFUNCTION("if(isblank($A6),"""",iferror(sum(query(Entrada!$A$3:$G$505,""select E where B = '""&amp;$A6&amp;""' and A = '""&amp;K$3&amp;""'"")),0))"),112.0)</f>
        <v>112</v>
      </c>
      <c r="L6" s="82">
        <f>IFERROR(__xludf.DUMMYFUNCTION("if(isblank($A6),"""",iferror(sum(query(Entrada!$A$3:$G$505,""select E where B = '""&amp;$A6&amp;""' and A = '""&amp;L$3&amp;""'"")),0))"),60.0)</f>
        <v>60</v>
      </c>
      <c r="M6" s="82">
        <f>IFERROR(__xludf.DUMMYFUNCTION("if(isblank($A6),"""",iferror(sum(query(Entrada!$A$3:$G$505,""select E where B = '""&amp;$A6&amp;""' and A = '""&amp;M$3&amp;""'"")),0))"),100.0)</f>
        <v>100</v>
      </c>
      <c r="N6" s="82">
        <f t="shared" si="1"/>
        <v>1126.85</v>
      </c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</row>
    <row r="7">
      <c r="A7" s="81" t="str">
        <f>IFERROR(__xludf.DUMMYFUNCTION("""COMPUTED_VALUE"""),"Temporário")</f>
        <v>Temporário</v>
      </c>
      <c r="B7" s="82">
        <f>IFERROR(__xludf.DUMMYFUNCTION("if(isblank($A7),"""",iferror(sum(query(Entrada!$A$3:$G$505,""select E where B = '""&amp;$A7&amp;""' and A = '""&amp;B$3&amp;""'"")),0))"),490.0)</f>
        <v>490</v>
      </c>
      <c r="C7" s="82">
        <f>IFERROR(__xludf.DUMMYFUNCTION("if(isblank($A7),"""",iferror(sum(query(Entrada!$A$3:$G$505,""select E where B = '""&amp;$A7&amp;""' and A = '""&amp;C$3&amp;""'"")),0))"),1105.5)</f>
        <v>1105.5</v>
      </c>
      <c r="D7" s="82">
        <f>IFERROR(__xludf.DUMMYFUNCTION("if(isblank($A7),"""",iferror(sum(query(Entrada!$A$3:$G$505,""select E where B = '""&amp;$A7&amp;""' and A = '""&amp;D$3&amp;""'"")),0))"),850.0)</f>
        <v>850</v>
      </c>
      <c r="E7" s="82">
        <f>IFERROR(__xludf.DUMMYFUNCTION("if(isblank($A7),"""",iferror(sum(query(Entrada!$A$3:$G$505,""select E where B = '""&amp;$A7&amp;""' and A = '""&amp;E$3&amp;""'"")),0))"),90.0)</f>
        <v>90</v>
      </c>
      <c r="F7" s="82">
        <f>IFERROR(__xludf.DUMMYFUNCTION("if(isblank($A7),"""",iferror(sum(query(Entrada!$A$3:$G$505,""select E where B = '""&amp;$A7&amp;""' and A = '""&amp;F$3&amp;""'"")),0))"),690.29)</f>
        <v>690.29</v>
      </c>
      <c r="G7" s="82">
        <f>IFERROR(__xludf.DUMMYFUNCTION("if(isblank($A7),"""",iferror(sum(query(Entrada!$A$3:$G$505,""select E where B = '""&amp;$A7&amp;""' and A = '""&amp;G$3&amp;""'"")),0))"),377.38)</f>
        <v>377.38</v>
      </c>
      <c r="H7" s="82">
        <f>IFERROR(__xludf.DUMMYFUNCTION("if(isblank($A7),"""",iferror(sum(query(Entrada!$A$3:$G$505,""select E where B = '""&amp;$A7&amp;""' and A = '""&amp;H$3&amp;""'"")),0))"),896.48)</f>
        <v>896.48</v>
      </c>
      <c r="I7" s="82">
        <f>IFERROR(__xludf.DUMMYFUNCTION("if(isblank($A7),"""",iferror(sum(query(Entrada!$A$3:$G$505,""select E where B = '""&amp;$A7&amp;""' and A = '""&amp;I$3&amp;""'"")),0))"),200.0)</f>
        <v>200</v>
      </c>
      <c r="J7" s="82">
        <f>IFERROR(__xludf.DUMMYFUNCTION("if(isblank($A7),"""",iferror(sum(query(Entrada!$A$3:$G$505,""select E where B = '""&amp;$A7&amp;""' and A = '""&amp;J$3&amp;""'"")),0))"),1203.0)</f>
        <v>1203</v>
      </c>
      <c r="K7" s="82">
        <f>IFERROR(__xludf.DUMMYFUNCTION("if(isblank($A7),"""",iferror(sum(query(Entrada!$A$3:$G$505,""select E where B = '""&amp;$A7&amp;""' and A = '""&amp;K$3&amp;""'"")),0))"),546.8)</f>
        <v>546.8</v>
      </c>
      <c r="L7" s="82">
        <f>IFERROR(__xludf.DUMMYFUNCTION("if(isblank($A7),"""",iferror(sum(query(Entrada!$A$3:$G$505,""select E where B = '""&amp;$A7&amp;""' and A = '""&amp;L$3&amp;""'"")),0))"),1678.76)</f>
        <v>1678.76</v>
      </c>
      <c r="M7" s="82">
        <f>IFERROR(__xludf.DUMMYFUNCTION("if(isblank($A7),"""",iferror(sum(query(Entrada!$A$3:$G$505,""select E where B = '""&amp;$A7&amp;""' and A = '""&amp;M$3&amp;""'"")),0))"),643.0)</f>
        <v>643</v>
      </c>
      <c r="N7" s="82">
        <f t="shared" si="1"/>
        <v>8771.21</v>
      </c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</row>
    <row r="8">
      <c r="A8" s="81" t="str">
        <f>IFERROR(__xludf.DUMMYFUNCTION("""COMPUTED_VALUE"""),"Rendimentos")</f>
        <v>Rendimentos</v>
      </c>
      <c r="B8" s="82">
        <f>IFERROR(__xludf.DUMMYFUNCTION("if(isblank($A8),"""",iferror(sum(query(Entrada!$A$3:$G$505,""select E where B = '""&amp;$A8&amp;""' and A = '""&amp;B$3&amp;""'"")),0))"),0.6400000000000001)</f>
        <v>0.64</v>
      </c>
      <c r="C8" s="82">
        <f>IFERROR(__xludf.DUMMYFUNCTION("if(isblank($A8),"""",iferror(sum(query(Entrada!$A$3:$G$505,""select E where B = '""&amp;$A8&amp;""' and A = '""&amp;C$3&amp;""'"")),0))"),1.03)</f>
        <v>1.03</v>
      </c>
      <c r="D8" s="82">
        <f>IFERROR(__xludf.DUMMYFUNCTION("if(isblank($A8),"""",iferror(sum(query(Entrada!$A$3:$G$505,""select E where B = '""&amp;$A8&amp;""' and A = '""&amp;D$3&amp;""'"")),0))"),0.83)</f>
        <v>0.83</v>
      </c>
      <c r="E8" s="82">
        <f>IFERROR(__xludf.DUMMYFUNCTION("if(isblank($A8),"""",iferror(sum(query(Entrada!$A$3:$G$505,""select E where B = '""&amp;$A8&amp;""' and A = '""&amp;E$3&amp;""'"")),0))"),0.25)</f>
        <v>0.25</v>
      </c>
      <c r="F8" s="82">
        <f>IFERROR(__xludf.DUMMYFUNCTION("if(isblank($A8),"""",iferror(sum(query(Entrada!$A$3:$G$505,""select E where B = '""&amp;$A8&amp;""' and A = '""&amp;F$3&amp;""'"")),0))"),0.11)</f>
        <v>0.11</v>
      </c>
      <c r="G8" s="82">
        <f>IFERROR(__xludf.DUMMYFUNCTION("if(isblank($A8),"""",iferror(sum(query(Entrada!$A$3:$G$505,""select E where B = '""&amp;$A8&amp;""' and A = '""&amp;G$3&amp;""'"")),0))"),1.8900000000000001)</f>
        <v>1.89</v>
      </c>
      <c r="H8" s="82">
        <f>IFERROR(__xludf.DUMMYFUNCTION("if(isblank($A8),"""",iferror(sum(query(Entrada!$A$3:$G$505,""select E where B = '""&amp;$A8&amp;""' and A = '""&amp;H$3&amp;""'"")),0))"),2.45)</f>
        <v>2.45</v>
      </c>
      <c r="I8" s="82">
        <f>IFERROR(__xludf.DUMMYFUNCTION("if(isblank($A8),"""",iferror(sum(query(Entrada!$A$3:$G$505,""select E where B = '""&amp;$A8&amp;""' and A = '""&amp;I$3&amp;""'"")),0))"),1.17)</f>
        <v>1.17</v>
      </c>
      <c r="J8" s="82">
        <f>IFERROR(__xludf.DUMMYFUNCTION("if(isblank($A8),"""",iferror(sum(query(Entrada!$A$3:$G$505,""select E where B = '""&amp;$A8&amp;""' and A = '""&amp;J$3&amp;""'"")),0))"),1.26)</f>
        <v>1.26</v>
      </c>
      <c r="K8" s="82">
        <f>IFERROR(__xludf.DUMMYFUNCTION("if(isblank($A8),"""",iferror(sum(query(Entrada!$A$3:$G$505,""select E where B = '""&amp;$A8&amp;""' and A = '""&amp;K$3&amp;""'"")),0))"),2.03)</f>
        <v>2.03</v>
      </c>
      <c r="L8" s="82">
        <f>IFERROR(__xludf.DUMMYFUNCTION("if(isblank($A8),"""",iferror(sum(query(Entrada!$A$3:$G$505,""select E where B = '""&amp;$A8&amp;""' and A = '""&amp;L$3&amp;""'"")),0))"),1.05)</f>
        <v>1.05</v>
      </c>
      <c r="M8" s="82">
        <f>IFERROR(__xludf.DUMMYFUNCTION("if(isblank($A8),"""",iferror(sum(query(Entrada!$A$3:$G$505,""select E where B = '""&amp;$A8&amp;""' and A = '""&amp;M$3&amp;""'"")),0))"),0.22000000000000003)</f>
        <v>0.22</v>
      </c>
      <c r="N8" s="82">
        <f t="shared" si="1"/>
        <v>12.93</v>
      </c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</row>
    <row r="9">
      <c r="A9" s="81" t="str">
        <f>IFERROR(__xludf.DUMMYFUNCTION("""COMPUTED_VALUE"""),"Retorno")</f>
        <v>Retorno</v>
      </c>
      <c r="B9" s="82">
        <f>IFERROR(__xludf.DUMMYFUNCTION("if(isblank($A9),"""",iferror(sum(query(Entrada!$A$3:$G$505,""select E where B = '""&amp;$A9&amp;""' and A = '""&amp;B$3&amp;""'"")),0))"),0.0)</f>
        <v>0</v>
      </c>
      <c r="C9" s="82">
        <f>IFERROR(__xludf.DUMMYFUNCTION("if(isblank($A9),"""",iferror(sum(query(Entrada!$A$3:$G$505,""select E where B = '""&amp;$A9&amp;""' and A = '""&amp;C$3&amp;""'"")),0))"),0.0)</f>
        <v>0</v>
      </c>
      <c r="D9" s="82">
        <f>IFERROR(__xludf.DUMMYFUNCTION("if(isblank($A9),"""",iferror(sum(query(Entrada!$A$3:$G$505,""select E where B = '""&amp;$A9&amp;""' and A = '""&amp;D$3&amp;""'"")),0))"),0.0)</f>
        <v>0</v>
      </c>
      <c r="E9" s="82">
        <f>IFERROR(__xludf.DUMMYFUNCTION("if(isblank($A9),"""",iferror(sum(query(Entrada!$A$3:$G$505,""select E where B = '""&amp;$A9&amp;""' and A = '""&amp;E$3&amp;""'"")),0))"),0.0)</f>
        <v>0</v>
      </c>
      <c r="F9" s="82">
        <f>IFERROR(__xludf.DUMMYFUNCTION("if(isblank($A9),"""",iferror(sum(query(Entrada!$A$3:$G$505,""select E where B = '""&amp;$A9&amp;""' and A = '""&amp;F$3&amp;""'"")),0))"),0.0)</f>
        <v>0</v>
      </c>
      <c r="G9" s="82">
        <f>IFERROR(__xludf.DUMMYFUNCTION("if(isblank($A9),"""",iferror(sum(query(Entrada!$A$3:$G$505,""select E where B = '""&amp;$A9&amp;""' and A = '""&amp;G$3&amp;""'"")),0))"),0.0)</f>
        <v>0</v>
      </c>
      <c r="H9" s="82">
        <f>IFERROR(__xludf.DUMMYFUNCTION("if(isblank($A9),"""",iferror(sum(query(Entrada!$A$3:$G$505,""select E where B = '""&amp;$A9&amp;""' and A = '""&amp;H$3&amp;""'"")),0))"),0.0)</f>
        <v>0</v>
      </c>
      <c r="I9" s="82">
        <f>IFERROR(__xludf.DUMMYFUNCTION("if(isblank($A9),"""",iferror(sum(query(Entrada!$A$3:$G$505,""select E where B = '""&amp;$A9&amp;""' and A = '""&amp;I$3&amp;""'"")),0))"),0.0)</f>
        <v>0</v>
      </c>
      <c r="J9" s="82">
        <f>IFERROR(__xludf.DUMMYFUNCTION("if(isblank($A9),"""",iferror(sum(query(Entrada!$A$3:$G$505,""select E where B = '""&amp;$A9&amp;""' and A = '""&amp;J$3&amp;""'"")),0))"),0.0)</f>
        <v>0</v>
      </c>
      <c r="K9" s="82">
        <f>IFERROR(__xludf.DUMMYFUNCTION("if(isblank($A9),"""",iferror(sum(query(Entrada!$A$3:$G$505,""select E where B = '""&amp;$A9&amp;""' and A = '""&amp;K$3&amp;""'"")),0))"),0.0)</f>
        <v>0</v>
      </c>
      <c r="L9" s="82">
        <f>IFERROR(__xludf.DUMMYFUNCTION("if(isblank($A9),"""",iferror(sum(query(Entrada!$A$3:$G$505,""select E where B = '""&amp;$A9&amp;""' and A = '""&amp;L$3&amp;""'"")),0))"),0.0)</f>
        <v>0</v>
      </c>
      <c r="M9" s="82">
        <f>IFERROR(__xludf.DUMMYFUNCTION("if(isblank($A9),"""",iferror(sum(query(Entrada!$A$3:$G$505,""select E where B = '""&amp;$A9&amp;""' and A = '""&amp;M$3&amp;""'"")),0))"),0.0)</f>
        <v>0</v>
      </c>
      <c r="N9" s="82">
        <f t="shared" si="1"/>
        <v>0</v>
      </c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</row>
    <row r="10">
      <c r="A10" s="81"/>
      <c r="B10" s="82" t="str">
        <f>IFERROR(__xludf.DUMMYFUNCTION("if(isblank($A10),"""",iferror(sum(query(Entrada!$A$3:$G$505,""select E where B = '""&amp;$A10&amp;""' and A = '""&amp;B$3&amp;""'"")),0))"),"")</f>
        <v/>
      </c>
      <c r="C10" s="82" t="str">
        <f>IFERROR(__xludf.DUMMYFUNCTION("if(isblank($A10),"""",iferror(sum(query(Entrada!$A$3:$G$505,""select E where B = '""&amp;$A10&amp;""' and A = '""&amp;C$3&amp;""'"")),0))"),"")</f>
        <v/>
      </c>
      <c r="D10" s="82" t="str">
        <f>IFERROR(__xludf.DUMMYFUNCTION("if(isblank($A10),"""",iferror(sum(query(Entrada!$A$3:$G$505,""select E where B = '""&amp;$A10&amp;""' and A = '""&amp;D$3&amp;""'"")),0))"),"")</f>
        <v/>
      </c>
      <c r="E10" s="82" t="str">
        <f>IFERROR(__xludf.DUMMYFUNCTION("if(isblank($A10),"""",iferror(sum(query(Entrada!$A$3:$G$505,""select E where B = '""&amp;$A10&amp;""' and A = '""&amp;E$3&amp;""'"")),0))"),"")</f>
        <v/>
      </c>
      <c r="F10" s="82" t="str">
        <f>IFERROR(__xludf.DUMMYFUNCTION("if(isblank($A10),"""",iferror(sum(query(Entrada!$A$3:$G$505,""select E where B = '""&amp;$A10&amp;""' and A = '""&amp;F$3&amp;""'"")),0))"),"")</f>
        <v/>
      </c>
      <c r="G10" s="82" t="str">
        <f>IFERROR(__xludf.DUMMYFUNCTION("if(isblank($A10),"""",iferror(sum(query(Entrada!$A$3:$G$505,""select E where B = '""&amp;$A10&amp;""' and A = '""&amp;G$3&amp;""'"")),0))"),"")</f>
        <v/>
      </c>
      <c r="H10" s="82" t="str">
        <f>IFERROR(__xludf.DUMMYFUNCTION("if(isblank($A10),"""",iferror(sum(query(Entrada!$A$3:$G$505,""select E where B = '""&amp;$A10&amp;""' and A = '""&amp;H$3&amp;""'"")),0))"),"")</f>
        <v/>
      </c>
      <c r="I10" s="82" t="str">
        <f>IFERROR(__xludf.DUMMYFUNCTION("if(isblank($A10),"""",iferror(sum(query(Entrada!$A$3:$G$505,""select E where B = '""&amp;$A10&amp;""' and A = '""&amp;I$3&amp;""'"")),0))"),"")</f>
        <v/>
      </c>
      <c r="J10" s="82" t="str">
        <f>IFERROR(__xludf.DUMMYFUNCTION("if(isblank($A10),"""",iferror(sum(query(Entrada!$A$3:$G$505,""select E where B = '""&amp;$A10&amp;""' and A = '""&amp;J$3&amp;""'"")),0))"),"")</f>
        <v/>
      </c>
      <c r="K10" s="82" t="str">
        <f>IFERROR(__xludf.DUMMYFUNCTION("if(isblank($A10),"""",iferror(sum(query(Entrada!$A$3:$G$505,""select E where B = '""&amp;$A10&amp;""' and A = '""&amp;K$3&amp;""'"")),0))"),"")</f>
        <v/>
      </c>
      <c r="L10" s="82" t="str">
        <f>IFERROR(__xludf.DUMMYFUNCTION("if(isblank($A10),"""",iferror(sum(query(Entrada!$A$3:$G$505,""select E where B = '""&amp;$A10&amp;""' and A = '""&amp;L$3&amp;""'"")),0))"),"")</f>
        <v/>
      </c>
      <c r="M10" s="82" t="str">
        <f>IFERROR(__xludf.DUMMYFUNCTION("if(isblank($A10),"""",iferror(sum(query(Entrada!$A$3:$G$505,""select E where B = '""&amp;$A10&amp;""' and A = '""&amp;M$3&amp;""'"")),0))"),"")</f>
        <v/>
      </c>
      <c r="N10" s="82" t="str">
        <f t="shared" si="1"/>
        <v/>
      </c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</row>
    <row r="11">
      <c r="A11" s="81"/>
      <c r="B11" s="82" t="str">
        <f>IFERROR(__xludf.DUMMYFUNCTION("if(isblank($A11),"""",iferror(sum(query(Entrada!$A$3:$G$505,""select E where B = '""&amp;$A11&amp;""' and A = '""&amp;B$3&amp;""'"")),0))"),"")</f>
        <v/>
      </c>
      <c r="C11" s="82" t="str">
        <f>IFERROR(__xludf.DUMMYFUNCTION("if(isblank($A11),"""",iferror(sum(query(Entrada!$A$3:$G$505,""select E where B = '""&amp;$A11&amp;""' and A = '""&amp;C$3&amp;""'"")),0))"),"")</f>
        <v/>
      </c>
      <c r="D11" s="82" t="str">
        <f>IFERROR(__xludf.DUMMYFUNCTION("if(isblank($A11),"""",iferror(sum(query(Entrada!$A$3:$G$505,""select E where B = '""&amp;$A11&amp;""' and A = '""&amp;D$3&amp;""'"")),0))"),"")</f>
        <v/>
      </c>
      <c r="E11" s="82" t="str">
        <f>IFERROR(__xludf.DUMMYFUNCTION("if(isblank($A11),"""",iferror(sum(query(Entrada!$A$3:$G$505,""select E where B = '""&amp;$A11&amp;""' and A = '""&amp;E$3&amp;""'"")),0))"),"")</f>
        <v/>
      </c>
      <c r="F11" s="82" t="str">
        <f>IFERROR(__xludf.DUMMYFUNCTION("if(isblank($A11),"""",iferror(sum(query(Entrada!$A$3:$G$505,""select E where B = '""&amp;$A11&amp;""' and A = '""&amp;F$3&amp;""'"")),0))"),"")</f>
        <v/>
      </c>
      <c r="G11" s="82" t="str">
        <f>IFERROR(__xludf.DUMMYFUNCTION("if(isblank($A11),"""",iferror(sum(query(Entrada!$A$3:$G$505,""select E where B = '""&amp;$A11&amp;""' and A = '""&amp;G$3&amp;""'"")),0))"),"")</f>
        <v/>
      </c>
      <c r="H11" s="82" t="str">
        <f>IFERROR(__xludf.DUMMYFUNCTION("if(isblank($A11),"""",iferror(sum(query(Entrada!$A$3:$G$505,""select E where B = '""&amp;$A11&amp;""' and A = '""&amp;H$3&amp;""'"")),0))"),"")</f>
        <v/>
      </c>
      <c r="I11" s="82" t="str">
        <f>IFERROR(__xludf.DUMMYFUNCTION("if(isblank($A11),"""",iferror(sum(query(Entrada!$A$3:$G$505,""select E where B = '""&amp;$A11&amp;""' and A = '""&amp;I$3&amp;""'"")),0))"),"")</f>
        <v/>
      </c>
      <c r="J11" s="82" t="str">
        <f>IFERROR(__xludf.DUMMYFUNCTION("if(isblank($A11),"""",iferror(sum(query(Entrada!$A$3:$G$505,""select E where B = '""&amp;$A11&amp;""' and A = '""&amp;J$3&amp;""'"")),0))"),"")</f>
        <v/>
      </c>
      <c r="K11" s="82" t="str">
        <f>IFERROR(__xludf.DUMMYFUNCTION("if(isblank($A11),"""",iferror(sum(query(Entrada!$A$3:$G$505,""select E where B = '""&amp;$A11&amp;""' and A = '""&amp;K$3&amp;""'"")),0))"),"")</f>
        <v/>
      </c>
      <c r="L11" s="82" t="str">
        <f>IFERROR(__xludf.DUMMYFUNCTION("if(isblank($A11),"""",iferror(sum(query(Entrada!$A$3:$G$505,""select E where B = '""&amp;$A11&amp;""' and A = '""&amp;L$3&amp;""'"")),0))"),"")</f>
        <v/>
      </c>
      <c r="M11" s="82" t="str">
        <f>IFERROR(__xludf.DUMMYFUNCTION("if(isblank($A11),"""",iferror(sum(query(Entrada!$A$3:$G$505,""select E where B = '""&amp;$A11&amp;""' and A = '""&amp;M$3&amp;""'"")),0))"),"")</f>
        <v/>
      </c>
      <c r="N11" s="82" t="str">
        <f t="shared" si="1"/>
        <v/>
      </c>
    </row>
    <row r="12">
      <c r="A12" s="83"/>
      <c r="B12" s="82" t="str">
        <f>IFERROR(__xludf.DUMMYFUNCTION("if(isblank($A12),"""",iferror(sum(query(Entrada!$A$3:$G$505,""select E where B = '""&amp;$A12&amp;""' and A = '""&amp;B$3&amp;""'"")),0))"),"")</f>
        <v/>
      </c>
      <c r="C12" s="82" t="str">
        <f>IFERROR(__xludf.DUMMYFUNCTION("if(isblank($A12),"""",iferror(sum(query(Entrada!$A$3:$G$505,""select E where B = '""&amp;$A12&amp;""' and A = '""&amp;C$3&amp;""'"")),0))"),"")</f>
        <v/>
      </c>
      <c r="D12" s="82" t="str">
        <f>IFERROR(__xludf.DUMMYFUNCTION("if(isblank($A12),"""",iferror(sum(query(Entrada!$A$3:$G$505,""select E where B = '""&amp;$A12&amp;""' and A = '""&amp;D$3&amp;""'"")),0))"),"")</f>
        <v/>
      </c>
      <c r="E12" s="82" t="str">
        <f>IFERROR(__xludf.DUMMYFUNCTION("if(isblank($A12),"""",iferror(sum(query(Entrada!$A$3:$G$505,""select E where B = '""&amp;$A12&amp;""' and A = '""&amp;E$3&amp;""'"")),0))"),"")</f>
        <v/>
      </c>
      <c r="F12" s="82" t="str">
        <f>IFERROR(__xludf.DUMMYFUNCTION("if(isblank($A12),"""",iferror(sum(query(Entrada!$A$3:$G$505,""select E where B = '""&amp;$A12&amp;""' and A = '""&amp;F$3&amp;""'"")),0))"),"")</f>
        <v/>
      </c>
      <c r="G12" s="82" t="str">
        <f>IFERROR(__xludf.DUMMYFUNCTION("if(isblank($A12),"""",iferror(sum(query(Entrada!$A$3:$G$505,""select E where B = '""&amp;$A12&amp;""' and A = '""&amp;G$3&amp;""'"")),0))"),"")</f>
        <v/>
      </c>
      <c r="H12" s="82" t="str">
        <f>IFERROR(__xludf.DUMMYFUNCTION("if(isblank($A12),"""",iferror(sum(query(Entrada!$A$3:$G$505,""select E where B = '""&amp;$A12&amp;""' and A = '""&amp;H$3&amp;""'"")),0))"),"")</f>
        <v/>
      </c>
      <c r="I12" s="82" t="str">
        <f>IFERROR(__xludf.DUMMYFUNCTION("if(isblank($A12),"""",iferror(sum(query(Entrada!$A$3:$G$505,""select E where B = '""&amp;$A12&amp;""' and A = '""&amp;I$3&amp;""'"")),0))"),"")</f>
        <v/>
      </c>
      <c r="J12" s="82" t="str">
        <f>IFERROR(__xludf.DUMMYFUNCTION("if(isblank($A12),"""",iferror(sum(query(Entrada!$A$3:$G$505,""select E where B = '""&amp;$A12&amp;""' and A = '""&amp;J$3&amp;""'"")),0))"),"")</f>
        <v/>
      </c>
      <c r="K12" s="82" t="str">
        <f>IFERROR(__xludf.DUMMYFUNCTION("if(isblank($A12),"""",iferror(sum(query(Entrada!$A$3:$G$505,""select E where B = '""&amp;$A12&amp;""' and A = '""&amp;K$3&amp;""'"")),0))"),"")</f>
        <v/>
      </c>
      <c r="L12" s="82" t="str">
        <f>IFERROR(__xludf.DUMMYFUNCTION("if(isblank($A12),"""",iferror(sum(query(Entrada!$A$3:$G$505,""select E where B = '""&amp;$A12&amp;""' and A = '""&amp;L$3&amp;""'"")),0))"),"")</f>
        <v/>
      </c>
      <c r="M12" s="82" t="str">
        <f>IFERROR(__xludf.DUMMYFUNCTION("if(isblank($A12),"""",iferror(sum(query(Entrada!$A$3:$G$505,""select E where B = '""&amp;$A12&amp;""' and A = '""&amp;M$3&amp;""'"")),0))"),"")</f>
        <v/>
      </c>
      <c r="N12" s="82" t="str">
        <f t="shared" si="1"/>
        <v/>
      </c>
      <c r="O12" s="84"/>
      <c r="P12" s="76"/>
      <c r="Q12" s="76"/>
      <c r="R12" s="76"/>
      <c r="S12" s="76"/>
      <c r="T12" s="76"/>
      <c r="U12" s="76"/>
      <c r="V12" s="76"/>
      <c r="W12" s="76"/>
      <c r="X12" s="76"/>
      <c r="Y12" s="76"/>
    </row>
    <row r="13">
      <c r="A13" s="83"/>
      <c r="B13" s="82" t="str">
        <f>IFERROR(__xludf.DUMMYFUNCTION("if(isblank($A13),"""",iferror(sum(query(Entrada!$A$3:$G$505,""select E where B = '""&amp;$A13&amp;""' and A = '""&amp;B$3&amp;""'"")),0))"),"")</f>
        <v/>
      </c>
      <c r="C13" s="82" t="str">
        <f>IFERROR(__xludf.DUMMYFUNCTION("if(isblank($A13),"""",iferror(sum(query(Entrada!$A$3:$G$505,""select E where B = '""&amp;$A13&amp;""' and A = '""&amp;C$3&amp;""'"")),0))"),"")</f>
        <v/>
      </c>
      <c r="D13" s="82" t="str">
        <f>IFERROR(__xludf.DUMMYFUNCTION("if(isblank($A13),"""",iferror(sum(query(Entrada!$A$3:$G$505,""select E where B = '""&amp;$A13&amp;""' and A = '""&amp;D$3&amp;""'"")),0))"),"")</f>
        <v/>
      </c>
      <c r="E13" s="82" t="str">
        <f>IFERROR(__xludf.DUMMYFUNCTION("if(isblank($A13),"""",iferror(sum(query(Entrada!$A$3:$G$505,""select E where B = '""&amp;$A13&amp;""' and A = '""&amp;E$3&amp;""'"")),0))"),"")</f>
        <v/>
      </c>
      <c r="F13" s="82" t="str">
        <f>IFERROR(__xludf.DUMMYFUNCTION("if(isblank($A13),"""",iferror(sum(query(Entrada!$A$3:$G$505,""select E where B = '""&amp;$A13&amp;""' and A = '""&amp;F$3&amp;""'"")),0))"),"")</f>
        <v/>
      </c>
      <c r="G13" s="82" t="str">
        <f>IFERROR(__xludf.DUMMYFUNCTION("if(isblank($A13),"""",iferror(sum(query(Entrada!$A$3:$G$505,""select E where B = '""&amp;$A13&amp;""' and A = '""&amp;G$3&amp;""'"")),0))"),"")</f>
        <v/>
      </c>
      <c r="H13" s="82" t="str">
        <f>IFERROR(__xludf.DUMMYFUNCTION("if(isblank($A13),"""",iferror(sum(query(Entrada!$A$3:$G$505,""select E where B = '""&amp;$A13&amp;""' and A = '""&amp;H$3&amp;""'"")),0))"),"")</f>
        <v/>
      </c>
      <c r="I13" s="82" t="str">
        <f>IFERROR(__xludf.DUMMYFUNCTION("if(isblank($A13),"""",iferror(sum(query(Entrada!$A$3:$G$505,""select E where B = '""&amp;$A13&amp;""' and A = '""&amp;I$3&amp;""'"")),0))"),"")</f>
        <v/>
      </c>
      <c r="J13" s="82" t="str">
        <f>IFERROR(__xludf.DUMMYFUNCTION("if(isblank($A13),"""",iferror(sum(query(Entrada!$A$3:$G$505,""select E where B = '""&amp;$A13&amp;""' and A = '""&amp;J$3&amp;""'"")),0))"),"")</f>
        <v/>
      </c>
      <c r="K13" s="82" t="str">
        <f>IFERROR(__xludf.DUMMYFUNCTION("if(isblank($A13),"""",iferror(sum(query(Entrada!$A$3:$G$505,""select E where B = '""&amp;$A13&amp;""' and A = '""&amp;K$3&amp;""'"")),0))"),"")</f>
        <v/>
      </c>
      <c r="L13" s="82" t="str">
        <f>IFERROR(__xludf.DUMMYFUNCTION("if(isblank($A13),"""",iferror(sum(query(Entrada!$A$3:$G$505,""select E where B = '""&amp;$A13&amp;""' and A = '""&amp;L$3&amp;""'"")),0))"),"")</f>
        <v/>
      </c>
      <c r="M13" s="82" t="str">
        <f>IFERROR(__xludf.DUMMYFUNCTION("if(isblank($A13),"""",iferror(sum(query(Entrada!$A$3:$G$505,""select E where B = '""&amp;$A13&amp;""' and A = '""&amp;M$3&amp;""'"")),0))"),"")</f>
        <v/>
      </c>
      <c r="N13" s="82" t="str">
        <f t="shared" si="1"/>
        <v/>
      </c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</row>
    <row r="14">
      <c r="A14" s="83"/>
      <c r="B14" s="82" t="str">
        <f>IFERROR(__xludf.DUMMYFUNCTION("if(isblank($A14),"""",iferror(sum(query(Entrada!$A$3:$G$505,""select E where B = '""&amp;$A14&amp;""' and A = '""&amp;B$3&amp;""'"")),0))"),"")</f>
        <v/>
      </c>
      <c r="C14" s="82" t="str">
        <f>IFERROR(__xludf.DUMMYFUNCTION("if(isblank($A14),"""",iferror(sum(query(Entrada!$A$3:$G$505,""select E where B = '""&amp;$A14&amp;""' and A = '""&amp;C$3&amp;""'"")),0))"),"")</f>
        <v/>
      </c>
      <c r="D14" s="82" t="str">
        <f>IFERROR(__xludf.DUMMYFUNCTION("if(isblank($A14),"""",iferror(sum(query(Entrada!$A$3:$G$505,""select E where B = '""&amp;$A14&amp;""' and A = '""&amp;D$3&amp;""'"")),0))"),"")</f>
        <v/>
      </c>
      <c r="E14" s="82" t="str">
        <f>IFERROR(__xludf.DUMMYFUNCTION("if(isblank($A14),"""",iferror(sum(query(Entrada!$A$3:$G$505,""select E where B = '""&amp;$A14&amp;""' and A = '""&amp;E$3&amp;""'"")),0))"),"")</f>
        <v/>
      </c>
      <c r="F14" s="82" t="str">
        <f>IFERROR(__xludf.DUMMYFUNCTION("if(isblank($A14),"""",iferror(sum(query(Entrada!$A$3:$G$505,""select E where B = '""&amp;$A14&amp;""' and A = '""&amp;F$3&amp;""'"")),0))"),"")</f>
        <v/>
      </c>
      <c r="G14" s="82" t="str">
        <f>IFERROR(__xludf.DUMMYFUNCTION("if(isblank($A14),"""",iferror(sum(query(Entrada!$A$3:$G$505,""select E where B = '""&amp;$A14&amp;""' and A = '""&amp;G$3&amp;""'"")),0))"),"")</f>
        <v/>
      </c>
      <c r="H14" s="82" t="str">
        <f>IFERROR(__xludf.DUMMYFUNCTION("if(isblank($A14),"""",iferror(sum(query(Entrada!$A$3:$G$505,""select E where B = '""&amp;$A14&amp;""' and A = '""&amp;H$3&amp;""'"")),0))"),"")</f>
        <v/>
      </c>
      <c r="I14" s="82" t="str">
        <f>IFERROR(__xludf.DUMMYFUNCTION("if(isblank($A14),"""",iferror(sum(query(Entrada!$A$3:$G$505,""select E where B = '""&amp;$A14&amp;""' and A = '""&amp;I$3&amp;""'"")),0))"),"")</f>
        <v/>
      </c>
      <c r="J14" s="82" t="str">
        <f>IFERROR(__xludf.DUMMYFUNCTION("if(isblank($A14),"""",iferror(sum(query(Entrada!$A$3:$G$505,""select E where B = '""&amp;$A14&amp;""' and A = '""&amp;J$3&amp;""'"")),0))"),"")</f>
        <v/>
      </c>
      <c r="K14" s="82" t="str">
        <f>IFERROR(__xludf.DUMMYFUNCTION("if(isblank($A14),"""",iferror(sum(query(Entrada!$A$3:$G$505,""select E where B = '""&amp;$A14&amp;""' and A = '""&amp;K$3&amp;""'"")),0))"),"")</f>
        <v/>
      </c>
      <c r="L14" s="82" t="str">
        <f>IFERROR(__xludf.DUMMYFUNCTION("if(isblank($A14),"""",iferror(sum(query(Entrada!$A$3:$G$505,""select E where B = '""&amp;$A14&amp;""' and A = '""&amp;L$3&amp;""'"")),0))"),"")</f>
        <v/>
      </c>
      <c r="M14" s="82" t="str">
        <f>IFERROR(__xludf.DUMMYFUNCTION("if(isblank($A14),"""",iferror(sum(query(Entrada!$A$3:$G$505,""select E where B = '""&amp;$A14&amp;""' and A = '""&amp;M$3&amp;""'"")),0))"),"")</f>
        <v/>
      </c>
      <c r="N14" s="82" t="str">
        <f t="shared" si="1"/>
        <v/>
      </c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</row>
    <row r="15">
      <c r="A15" s="83"/>
      <c r="B15" s="82" t="str">
        <f>IFERROR(__xludf.DUMMYFUNCTION("if(isblank($A15),"""",iferror(sum(query(Entrada!$A$3:$G$505,""select E where B = '""&amp;$A15&amp;""' and A = '""&amp;B$3&amp;""'"")),0))"),"")</f>
        <v/>
      </c>
      <c r="C15" s="82" t="str">
        <f>IFERROR(__xludf.DUMMYFUNCTION("if(isblank($A15),"""",iferror(sum(query(Entrada!$A$3:$G$505,""select E where B = '""&amp;$A15&amp;""' and A = '""&amp;C$3&amp;""'"")),0))"),"")</f>
        <v/>
      </c>
      <c r="D15" s="82" t="str">
        <f>IFERROR(__xludf.DUMMYFUNCTION("if(isblank($A15),"""",iferror(sum(query(Entrada!$A$3:$G$505,""select E where B = '""&amp;$A15&amp;""' and A = '""&amp;D$3&amp;""'"")),0))"),"")</f>
        <v/>
      </c>
      <c r="E15" s="82" t="str">
        <f>IFERROR(__xludf.DUMMYFUNCTION("if(isblank($A15),"""",iferror(sum(query(Entrada!$A$3:$G$505,""select E where B = '""&amp;$A15&amp;""' and A = '""&amp;E$3&amp;""'"")),0))"),"")</f>
        <v/>
      </c>
      <c r="F15" s="82" t="str">
        <f>IFERROR(__xludf.DUMMYFUNCTION("if(isblank($A15),"""",iferror(sum(query(Entrada!$A$3:$G$505,""select E where B = '""&amp;$A15&amp;""' and A = '""&amp;F$3&amp;""'"")),0))"),"")</f>
        <v/>
      </c>
      <c r="G15" s="82" t="str">
        <f>IFERROR(__xludf.DUMMYFUNCTION("if(isblank($A15),"""",iferror(sum(query(Entrada!$A$3:$G$505,""select E where B = '""&amp;$A15&amp;""' and A = '""&amp;G$3&amp;""'"")),0))"),"")</f>
        <v/>
      </c>
      <c r="H15" s="82" t="str">
        <f>IFERROR(__xludf.DUMMYFUNCTION("if(isblank($A15),"""",iferror(sum(query(Entrada!$A$3:$G$505,""select E where B = '""&amp;$A15&amp;""' and A = '""&amp;H$3&amp;""'"")),0))"),"")</f>
        <v/>
      </c>
      <c r="I15" s="82" t="str">
        <f>IFERROR(__xludf.DUMMYFUNCTION("if(isblank($A15),"""",iferror(sum(query(Entrada!$A$3:$G$505,""select E where B = '""&amp;$A15&amp;""' and A = '""&amp;I$3&amp;""'"")),0))"),"")</f>
        <v/>
      </c>
      <c r="J15" s="82" t="str">
        <f>IFERROR(__xludf.DUMMYFUNCTION("if(isblank($A15),"""",iferror(sum(query(Entrada!$A$3:$G$505,""select E where B = '""&amp;$A15&amp;""' and A = '""&amp;J$3&amp;""'"")),0))"),"")</f>
        <v/>
      </c>
      <c r="K15" s="82" t="str">
        <f>IFERROR(__xludf.DUMMYFUNCTION("if(isblank($A15),"""",iferror(sum(query(Entrada!$A$3:$G$505,""select E where B = '""&amp;$A15&amp;""' and A = '""&amp;K$3&amp;""'"")),0))"),"")</f>
        <v/>
      </c>
      <c r="L15" s="82" t="str">
        <f>IFERROR(__xludf.DUMMYFUNCTION("if(isblank($A15),"""",iferror(sum(query(Entrada!$A$3:$G$505,""select E where B = '""&amp;$A15&amp;""' and A = '""&amp;L$3&amp;""'"")),0))"),"")</f>
        <v/>
      </c>
      <c r="M15" s="82" t="str">
        <f>IFERROR(__xludf.DUMMYFUNCTION("if(isblank($A15),"""",iferror(sum(query(Entrada!$A$3:$G$505,""select E where B = '""&amp;$A15&amp;""' and A = '""&amp;M$3&amp;""'"")),0))"),"")</f>
        <v/>
      </c>
      <c r="N15" s="82" t="str">
        <f t="shared" si="1"/>
        <v/>
      </c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</row>
    <row r="16">
      <c r="A16" s="83"/>
      <c r="B16" s="82" t="str">
        <f>IFERROR(__xludf.DUMMYFUNCTION("if(isblank($A16),"""",iferror(sum(query(Entrada!$A$3:$G$505,""select E where B = '""&amp;$A16&amp;""' and A = '""&amp;B$3&amp;""'"")),0))"),"")</f>
        <v/>
      </c>
      <c r="C16" s="82" t="str">
        <f>IFERROR(__xludf.DUMMYFUNCTION("if(isblank($A16),"""",iferror(sum(query(Entrada!$A$3:$G$505,""select E where B = '""&amp;$A16&amp;""' and A = '""&amp;C$3&amp;""'"")),0))"),"")</f>
        <v/>
      </c>
      <c r="D16" s="82" t="str">
        <f>IFERROR(__xludf.DUMMYFUNCTION("if(isblank($A16),"""",iferror(sum(query(Entrada!$A$3:$G$505,""select E where B = '""&amp;$A16&amp;""' and A = '""&amp;D$3&amp;""'"")),0))"),"")</f>
        <v/>
      </c>
      <c r="E16" s="82" t="str">
        <f>IFERROR(__xludf.DUMMYFUNCTION("if(isblank($A16),"""",iferror(sum(query(Entrada!$A$3:$G$505,""select E where B = '""&amp;$A16&amp;""' and A = '""&amp;E$3&amp;""'"")),0))"),"")</f>
        <v/>
      </c>
      <c r="F16" s="82" t="str">
        <f>IFERROR(__xludf.DUMMYFUNCTION("if(isblank($A16),"""",iferror(sum(query(Entrada!$A$3:$G$505,""select E where B = '""&amp;$A16&amp;""' and A = '""&amp;F$3&amp;""'"")),0))"),"")</f>
        <v/>
      </c>
      <c r="G16" s="82" t="str">
        <f>IFERROR(__xludf.DUMMYFUNCTION("if(isblank($A16),"""",iferror(sum(query(Entrada!$A$3:$G$505,""select E where B = '""&amp;$A16&amp;""' and A = '""&amp;G$3&amp;""'"")),0))"),"")</f>
        <v/>
      </c>
      <c r="H16" s="82" t="str">
        <f>IFERROR(__xludf.DUMMYFUNCTION("if(isblank($A16),"""",iferror(sum(query(Entrada!$A$3:$G$505,""select E where B = '""&amp;$A16&amp;""' and A = '""&amp;H$3&amp;""'"")),0))"),"")</f>
        <v/>
      </c>
      <c r="I16" s="82" t="str">
        <f>IFERROR(__xludf.DUMMYFUNCTION("if(isblank($A16),"""",iferror(sum(query(Entrada!$A$3:$G$505,""select E where B = '""&amp;$A16&amp;""' and A = '""&amp;I$3&amp;""'"")),0))"),"")</f>
        <v/>
      </c>
      <c r="J16" s="82" t="str">
        <f>IFERROR(__xludf.DUMMYFUNCTION("if(isblank($A16),"""",iferror(sum(query(Entrada!$A$3:$G$505,""select E where B = '""&amp;$A16&amp;""' and A = '""&amp;J$3&amp;""'"")),0))"),"")</f>
        <v/>
      </c>
      <c r="K16" s="82" t="str">
        <f>IFERROR(__xludf.DUMMYFUNCTION("if(isblank($A16),"""",iferror(sum(query(Entrada!$A$3:$G$505,""select E where B = '""&amp;$A16&amp;""' and A = '""&amp;K$3&amp;""'"")),0))"),"")</f>
        <v/>
      </c>
      <c r="L16" s="82" t="str">
        <f>IFERROR(__xludf.DUMMYFUNCTION("if(isblank($A16),"""",iferror(sum(query(Entrada!$A$3:$G$505,""select E where B = '""&amp;$A16&amp;""' and A = '""&amp;L$3&amp;""'"")),0))"),"")</f>
        <v/>
      </c>
      <c r="M16" s="82" t="str">
        <f>IFERROR(__xludf.DUMMYFUNCTION("if(isblank($A16),"""",iferror(sum(query(Entrada!$A$3:$G$505,""select E where B = '""&amp;$A16&amp;""' and A = '""&amp;M$3&amp;""'"")),0))"),"")</f>
        <v/>
      </c>
      <c r="N16" s="82" t="str">
        <f t="shared" si="1"/>
        <v/>
      </c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</row>
    <row r="17">
      <c r="A17" s="83"/>
      <c r="B17" s="82" t="str">
        <f>IFERROR(__xludf.DUMMYFUNCTION("if(isblank($A17),"""",iferror(sum(query(Entrada!$A$3:$G$505,""select E where B = '""&amp;$A17&amp;""' and A = '""&amp;B$3&amp;""'"")),0))"),"")</f>
        <v/>
      </c>
      <c r="C17" s="82" t="str">
        <f>IFERROR(__xludf.DUMMYFUNCTION("if(isblank($A17),"""",iferror(sum(query(Entrada!$A$3:$G$505,""select E where B = '""&amp;$A17&amp;""' and A = '""&amp;C$3&amp;""'"")),0))"),"")</f>
        <v/>
      </c>
      <c r="D17" s="82" t="str">
        <f>IFERROR(__xludf.DUMMYFUNCTION("if(isblank($A17),"""",iferror(sum(query(Entrada!$A$3:$G$505,""select E where B = '""&amp;$A17&amp;""' and A = '""&amp;D$3&amp;""'"")),0))"),"")</f>
        <v/>
      </c>
      <c r="E17" s="82" t="str">
        <f>IFERROR(__xludf.DUMMYFUNCTION("if(isblank($A17),"""",iferror(sum(query(Entrada!$A$3:$G$505,""select E where B = '""&amp;$A17&amp;""' and A = '""&amp;E$3&amp;""'"")),0))"),"")</f>
        <v/>
      </c>
      <c r="F17" s="82" t="str">
        <f>IFERROR(__xludf.DUMMYFUNCTION("if(isblank($A17),"""",iferror(sum(query(Entrada!$A$3:$G$505,""select E where B = '""&amp;$A17&amp;""' and A = '""&amp;F$3&amp;""'"")),0))"),"")</f>
        <v/>
      </c>
      <c r="G17" s="82" t="str">
        <f>IFERROR(__xludf.DUMMYFUNCTION("if(isblank($A17),"""",iferror(sum(query(Entrada!$A$3:$G$505,""select E where B = '""&amp;$A17&amp;""' and A = '""&amp;G$3&amp;""'"")),0))"),"")</f>
        <v/>
      </c>
      <c r="H17" s="82" t="str">
        <f>IFERROR(__xludf.DUMMYFUNCTION("if(isblank($A17),"""",iferror(sum(query(Entrada!$A$3:$G$505,""select E where B = '""&amp;$A17&amp;""' and A = '""&amp;H$3&amp;""'"")),0))"),"")</f>
        <v/>
      </c>
      <c r="I17" s="82" t="str">
        <f>IFERROR(__xludf.DUMMYFUNCTION("if(isblank($A17),"""",iferror(sum(query(Entrada!$A$3:$G$505,""select E where B = '""&amp;$A17&amp;""' and A = '""&amp;I$3&amp;""'"")),0))"),"")</f>
        <v/>
      </c>
      <c r="J17" s="82" t="str">
        <f>IFERROR(__xludf.DUMMYFUNCTION("if(isblank($A17),"""",iferror(sum(query(Entrada!$A$3:$G$505,""select E where B = '""&amp;$A17&amp;""' and A = '""&amp;J$3&amp;""'"")),0))"),"")</f>
        <v/>
      </c>
      <c r="K17" s="82" t="str">
        <f>IFERROR(__xludf.DUMMYFUNCTION("if(isblank($A17),"""",iferror(sum(query(Entrada!$A$3:$G$505,""select E where B = '""&amp;$A17&amp;""' and A = '""&amp;K$3&amp;""'"")),0))"),"")</f>
        <v/>
      </c>
      <c r="L17" s="82" t="str">
        <f>IFERROR(__xludf.DUMMYFUNCTION("if(isblank($A17),"""",iferror(sum(query(Entrada!$A$3:$G$505,""select E where B = '""&amp;$A17&amp;""' and A = '""&amp;L$3&amp;""'"")),0))"),"")</f>
        <v/>
      </c>
      <c r="M17" s="82" t="str">
        <f>IFERROR(__xludf.DUMMYFUNCTION("if(isblank($A17),"""",iferror(sum(query(Entrada!$A$3:$G$505,""select E where B = '""&amp;$A17&amp;""' and A = '""&amp;M$3&amp;""'"")),0))"),"")</f>
        <v/>
      </c>
      <c r="N17" s="82" t="str">
        <f t="shared" si="1"/>
        <v/>
      </c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</row>
    <row r="18">
      <c r="A18" s="81"/>
      <c r="B18" s="82" t="str">
        <f>IFERROR(__xludf.DUMMYFUNCTION("if(isblank($A18),"""",iferror(sum(query(Entrada!$A$3:$G$505,""select E where B = '""&amp;$A18&amp;""' and A = '""&amp;B$3&amp;""'"")),0))"),"")</f>
        <v/>
      </c>
      <c r="C18" s="82" t="str">
        <f>IFERROR(__xludf.DUMMYFUNCTION("if(isblank($A18),"""",iferror(sum(query(Entrada!$A$3:$G$505,""select E where B = '""&amp;$A18&amp;""' and A = '""&amp;C$3&amp;""'"")),0))"),"")</f>
        <v/>
      </c>
      <c r="D18" s="82" t="str">
        <f>IFERROR(__xludf.DUMMYFUNCTION("if(isblank($A18),"""",iferror(sum(query(Entrada!$A$3:$G$505,""select E where B = '""&amp;$A18&amp;""' and A = '""&amp;D$3&amp;""'"")),0))"),"")</f>
        <v/>
      </c>
      <c r="E18" s="82" t="str">
        <f>IFERROR(__xludf.DUMMYFUNCTION("if(isblank($A18),"""",iferror(sum(query(Entrada!$A$3:$G$505,""select E where B = '""&amp;$A18&amp;""' and A = '""&amp;E$3&amp;""'"")),0))"),"")</f>
        <v/>
      </c>
      <c r="F18" s="82" t="str">
        <f>IFERROR(__xludf.DUMMYFUNCTION("if(isblank($A18),"""",iferror(sum(query(Entrada!$A$3:$G$505,""select E where B = '""&amp;$A18&amp;""' and A = '""&amp;F$3&amp;""'"")),0))"),"")</f>
        <v/>
      </c>
      <c r="G18" s="82" t="str">
        <f>IFERROR(__xludf.DUMMYFUNCTION("if(isblank($A18),"""",iferror(sum(query(Entrada!$A$3:$G$505,""select E where B = '""&amp;$A18&amp;""' and A = '""&amp;G$3&amp;""'"")),0))"),"")</f>
        <v/>
      </c>
      <c r="H18" s="82" t="str">
        <f>IFERROR(__xludf.DUMMYFUNCTION("if(isblank($A18),"""",iferror(sum(query(Entrada!$A$3:$G$505,""select E where B = '""&amp;$A18&amp;""' and A = '""&amp;H$3&amp;""'"")),0))"),"")</f>
        <v/>
      </c>
      <c r="I18" s="82" t="str">
        <f>IFERROR(__xludf.DUMMYFUNCTION("if(isblank($A18),"""",iferror(sum(query(Entrada!$A$3:$G$505,""select E where B = '""&amp;$A18&amp;""' and A = '""&amp;I$3&amp;""'"")),0))"),"")</f>
        <v/>
      </c>
      <c r="J18" s="82" t="str">
        <f>IFERROR(__xludf.DUMMYFUNCTION("if(isblank($A18),"""",iferror(sum(query(Entrada!$A$3:$G$505,""select E where B = '""&amp;$A18&amp;""' and A = '""&amp;J$3&amp;""'"")),0))"),"")</f>
        <v/>
      </c>
      <c r="K18" s="82" t="str">
        <f>IFERROR(__xludf.DUMMYFUNCTION("if(isblank($A18),"""",iferror(sum(query(Entrada!$A$3:$G$505,""select E where B = '""&amp;$A18&amp;""' and A = '""&amp;K$3&amp;""'"")),0))"),"")</f>
        <v/>
      </c>
      <c r="L18" s="82" t="str">
        <f>IFERROR(__xludf.DUMMYFUNCTION("if(isblank($A18),"""",iferror(sum(query(Entrada!$A$3:$G$505,""select E where B = '""&amp;$A18&amp;""' and A = '""&amp;L$3&amp;""'"")),0))"),"")</f>
        <v/>
      </c>
      <c r="M18" s="82" t="str">
        <f>IFERROR(__xludf.DUMMYFUNCTION("if(isblank($A18),"""",iferror(sum(query(Entrada!$A$3:$G$505,""select E where B = '""&amp;$A18&amp;""' and A = '""&amp;M$3&amp;""'"")),0))"),"")</f>
        <v/>
      </c>
      <c r="N18" s="82" t="str">
        <f t="shared" si="1"/>
        <v/>
      </c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</row>
    <row r="19">
      <c r="A19" s="81"/>
      <c r="B19" s="82" t="str">
        <f>IFERROR(__xludf.DUMMYFUNCTION("if(isblank($A19),"""",iferror(sum(query(Entrada!$A$3:$G$505,""select E where B = '""&amp;$A19&amp;""' and A = '""&amp;B$3&amp;""'"")),0))"),"")</f>
        <v/>
      </c>
      <c r="C19" s="82" t="str">
        <f>IFERROR(__xludf.DUMMYFUNCTION("if(isblank($A19),"""",iferror(sum(query(Entrada!$A$3:$G$505,""select E where B = '""&amp;$A19&amp;""' and A = '""&amp;C$3&amp;""'"")),0))"),"")</f>
        <v/>
      </c>
      <c r="D19" s="82" t="str">
        <f>IFERROR(__xludf.DUMMYFUNCTION("if(isblank($A19),"""",iferror(sum(query(Entrada!$A$3:$G$505,""select E where B = '""&amp;$A19&amp;""' and A = '""&amp;D$3&amp;""'"")),0))"),"")</f>
        <v/>
      </c>
      <c r="E19" s="82" t="str">
        <f>IFERROR(__xludf.DUMMYFUNCTION("if(isblank($A19),"""",iferror(sum(query(Entrada!$A$3:$G$505,""select E where B = '""&amp;$A19&amp;""' and A = '""&amp;E$3&amp;""'"")),0))"),"")</f>
        <v/>
      </c>
      <c r="F19" s="82" t="str">
        <f>IFERROR(__xludf.DUMMYFUNCTION("if(isblank($A19),"""",iferror(sum(query(Entrada!$A$3:$G$505,""select E where B = '""&amp;$A19&amp;""' and A = '""&amp;F$3&amp;""'"")),0))"),"")</f>
        <v/>
      </c>
      <c r="G19" s="82" t="str">
        <f>IFERROR(__xludf.DUMMYFUNCTION("if(isblank($A19),"""",iferror(sum(query(Entrada!$A$3:$G$505,""select E where B = '""&amp;$A19&amp;""' and A = '""&amp;G$3&amp;""'"")),0))"),"")</f>
        <v/>
      </c>
      <c r="H19" s="82" t="str">
        <f>IFERROR(__xludf.DUMMYFUNCTION("if(isblank($A19),"""",iferror(sum(query(Entrada!$A$3:$G$505,""select E where B = '""&amp;$A19&amp;""' and A = '""&amp;H$3&amp;""'"")),0))"),"")</f>
        <v/>
      </c>
      <c r="I19" s="82" t="str">
        <f>IFERROR(__xludf.DUMMYFUNCTION("if(isblank($A19),"""",iferror(sum(query(Entrada!$A$3:$G$505,""select E where B = '""&amp;$A19&amp;""' and A = '""&amp;I$3&amp;""'"")),0))"),"")</f>
        <v/>
      </c>
      <c r="J19" s="82" t="str">
        <f>IFERROR(__xludf.DUMMYFUNCTION("if(isblank($A19),"""",iferror(sum(query(Entrada!$A$3:$G$505,""select E where B = '""&amp;$A19&amp;""' and A = '""&amp;J$3&amp;""'"")),0))"),"")</f>
        <v/>
      </c>
      <c r="K19" s="82" t="str">
        <f>IFERROR(__xludf.DUMMYFUNCTION("if(isblank($A19),"""",iferror(sum(query(Entrada!$A$3:$G$505,""select E where B = '""&amp;$A19&amp;""' and A = '""&amp;K$3&amp;""'"")),0))"),"")</f>
        <v/>
      </c>
      <c r="L19" s="82" t="str">
        <f>IFERROR(__xludf.DUMMYFUNCTION("if(isblank($A19),"""",iferror(sum(query(Entrada!$A$3:$G$505,""select E where B = '""&amp;$A19&amp;""' and A = '""&amp;L$3&amp;""'"")),0))"),"")</f>
        <v/>
      </c>
      <c r="M19" s="82" t="str">
        <f>IFERROR(__xludf.DUMMYFUNCTION("if(isblank($A19),"""",iferror(sum(query(Entrada!$A$3:$G$505,""select E where B = '""&amp;$A19&amp;""' and A = '""&amp;M$3&amp;""'"")),0))"),"")</f>
        <v/>
      </c>
      <c r="N19" s="82" t="str">
        <f t="shared" si="1"/>
        <v/>
      </c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</row>
    <row r="20">
      <c r="A20" s="85"/>
      <c r="B20" s="82" t="str">
        <f>IFERROR(__xludf.DUMMYFUNCTION("if(isblank($A20),"""",iferror(sum(query(Entrada!$A$3:$G$505,""select E where B = '""&amp;$A20&amp;""' and A = '""&amp;B$3&amp;""'"")),0))"),"")</f>
        <v/>
      </c>
      <c r="C20" s="82" t="str">
        <f>IFERROR(__xludf.DUMMYFUNCTION("if(isblank($A20),"""",iferror(sum(query(Entrada!$A$3:$G$505,""select E where B = '""&amp;$A20&amp;""' and A = '""&amp;C$3&amp;""'"")),0))"),"")</f>
        <v/>
      </c>
      <c r="D20" s="82" t="str">
        <f>IFERROR(__xludf.DUMMYFUNCTION("if(isblank($A20),"""",iferror(sum(query(Entrada!$A$3:$G$505,""select E where B = '""&amp;$A20&amp;""' and A = '""&amp;D$3&amp;""'"")),0))"),"")</f>
        <v/>
      </c>
      <c r="E20" s="82" t="str">
        <f>IFERROR(__xludf.DUMMYFUNCTION("if(isblank($A20),"""",iferror(sum(query(Entrada!$A$3:$G$505,""select E where B = '""&amp;$A20&amp;""' and A = '""&amp;E$3&amp;""'"")),0))"),"")</f>
        <v/>
      </c>
      <c r="F20" s="82" t="str">
        <f>IFERROR(__xludf.DUMMYFUNCTION("if(isblank($A20),"""",iferror(sum(query(Entrada!$A$3:$G$505,""select E where B = '""&amp;$A20&amp;""' and A = '""&amp;F$3&amp;""'"")),0))"),"")</f>
        <v/>
      </c>
      <c r="G20" s="82" t="str">
        <f>IFERROR(__xludf.DUMMYFUNCTION("if(isblank($A20),"""",iferror(sum(query(Entrada!$A$3:$G$505,""select E where B = '""&amp;$A20&amp;""' and A = '""&amp;G$3&amp;""'"")),0))"),"")</f>
        <v/>
      </c>
      <c r="H20" s="82" t="str">
        <f>IFERROR(__xludf.DUMMYFUNCTION("if(isblank($A20),"""",iferror(sum(query(Entrada!$A$3:$G$505,""select E where B = '""&amp;$A20&amp;""' and A = '""&amp;H$3&amp;""'"")),0))"),"")</f>
        <v/>
      </c>
      <c r="I20" s="82" t="str">
        <f>IFERROR(__xludf.DUMMYFUNCTION("if(isblank($A20),"""",iferror(sum(query(Entrada!$A$3:$G$505,""select E where B = '""&amp;$A20&amp;""' and A = '""&amp;I$3&amp;""'"")),0))"),"")</f>
        <v/>
      </c>
      <c r="J20" s="82" t="str">
        <f>IFERROR(__xludf.DUMMYFUNCTION("if(isblank($A20),"""",iferror(sum(query(Entrada!$A$3:$G$505,""select E where B = '""&amp;$A20&amp;""' and A = '""&amp;J$3&amp;""'"")),0))"),"")</f>
        <v/>
      </c>
      <c r="K20" s="82" t="str">
        <f>IFERROR(__xludf.DUMMYFUNCTION("if(isblank($A20),"""",iferror(sum(query(Entrada!$A$3:$G$505,""select E where B = '""&amp;$A20&amp;""' and A = '""&amp;K$3&amp;""'"")),0))"),"")</f>
        <v/>
      </c>
      <c r="L20" s="82" t="str">
        <f>IFERROR(__xludf.DUMMYFUNCTION("if(isblank($A20),"""",iferror(sum(query(Entrada!$A$3:$G$505,""select E where B = '""&amp;$A20&amp;""' and A = '""&amp;L$3&amp;""'"")),0))"),"")</f>
        <v/>
      </c>
      <c r="M20" s="82" t="str">
        <f>IFERROR(__xludf.DUMMYFUNCTION("if(isblank($A20),"""",iferror(sum(query(Entrada!$A$3:$G$505,""select E where B = '""&amp;$A20&amp;""' and A = '""&amp;M$3&amp;""'"")),0))"),"")</f>
        <v/>
      </c>
      <c r="N20" s="82" t="str">
        <f t="shared" si="1"/>
        <v/>
      </c>
    </row>
    <row r="21">
      <c r="A21" s="86" t="s">
        <v>59</v>
      </c>
      <c r="B21" s="87">
        <f t="shared" ref="B21:N21" si="2">sum(B4:B20)</f>
        <v>1182.89</v>
      </c>
      <c r="C21" s="87">
        <f t="shared" si="2"/>
        <v>1476.53</v>
      </c>
      <c r="D21" s="87">
        <f t="shared" si="2"/>
        <v>1480.83</v>
      </c>
      <c r="E21" s="87">
        <f t="shared" si="2"/>
        <v>710.25</v>
      </c>
      <c r="F21" s="87">
        <f t="shared" si="2"/>
        <v>1622</v>
      </c>
      <c r="G21" s="87">
        <f t="shared" si="2"/>
        <v>919.27</v>
      </c>
      <c r="H21" s="87">
        <f t="shared" si="2"/>
        <v>1509.93</v>
      </c>
      <c r="I21" s="87">
        <f t="shared" si="2"/>
        <v>741.17</v>
      </c>
      <c r="J21" s="87">
        <f t="shared" si="2"/>
        <v>2264.26</v>
      </c>
      <c r="K21" s="87">
        <f t="shared" si="2"/>
        <v>1660.83</v>
      </c>
      <c r="L21" s="87">
        <f t="shared" si="2"/>
        <v>2619.81</v>
      </c>
      <c r="M21" s="87">
        <f t="shared" si="2"/>
        <v>2143.22</v>
      </c>
      <c r="N21" s="87">
        <f t="shared" si="2"/>
        <v>18330.99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</row>
    <row r="22">
      <c r="A22" s="88"/>
      <c r="B22" s="76"/>
      <c r="C22" s="76"/>
      <c r="D22" s="84"/>
      <c r="E22" s="89"/>
      <c r="F22" s="89"/>
      <c r="G22" s="89"/>
      <c r="H22" s="89"/>
      <c r="I22" s="89"/>
      <c r="J22" s="89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</row>
    <row r="23">
      <c r="A23" s="75" t="s">
        <v>60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r="24">
      <c r="A24" s="90"/>
      <c r="B24" s="91" t="s">
        <v>47</v>
      </c>
      <c r="C24" s="91" t="s">
        <v>48</v>
      </c>
      <c r="D24" s="91" t="s">
        <v>49</v>
      </c>
      <c r="E24" s="91" t="s">
        <v>50</v>
      </c>
      <c r="F24" s="91" t="s">
        <v>51</v>
      </c>
      <c r="G24" s="91" t="s">
        <v>52</v>
      </c>
      <c r="H24" s="91" t="s">
        <v>53</v>
      </c>
      <c r="I24" s="91" t="s">
        <v>54</v>
      </c>
      <c r="J24" s="91" t="s">
        <v>55</v>
      </c>
      <c r="K24" s="91" t="s">
        <v>56</v>
      </c>
      <c r="L24" s="91" t="s">
        <v>57</v>
      </c>
      <c r="M24" s="91" t="s">
        <v>58</v>
      </c>
      <c r="N24" s="92" t="s">
        <v>59</v>
      </c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</row>
    <row r="25">
      <c r="A25" s="93" t="str">
        <f>IFERROR(__xludf.DUMMYFUNCTION("unique(QUERY(Tabelas!B13:B52,""select B where B is not null""))"),"Alimentação")</f>
        <v>Alimentação</v>
      </c>
      <c r="B25" s="82">
        <f>IFERROR(__xludf.DUMMYFUNCTION("if(isblank($A25),"""",iferror(sum(query('Saída'!$A$3:$G$505,""select E where B = '""&amp;$A25&amp;""' and A = '""&amp;B$24&amp;""'"")),0))"),18.0)</f>
        <v>18</v>
      </c>
      <c r="C25" s="82">
        <f>IFERROR(__xludf.DUMMYFUNCTION("if(isblank($A25),"""",iferror(sum(query('Saída'!$A$2:$G$505,""select E where B = '""&amp;$A25&amp;""' and A = '""&amp;C$24&amp;""'"")),0))"),32.0)</f>
        <v>32</v>
      </c>
      <c r="D25" s="82">
        <f>IFERROR(__xludf.DUMMYFUNCTION("if(isblank($A25),"""",iferror(sum(query('Saída'!$A$2:$G$505,""select E where B = '""&amp;$A25&amp;""' and A = '""&amp;D$24&amp;""'"")),0))"),141.07)</f>
        <v>141.07</v>
      </c>
      <c r="E25" s="82">
        <f>IFERROR(__xludf.DUMMYFUNCTION("if(isblank($A25),"""",iferror(sum(query('Saída'!$A$2:$G$505,""select E where B = '""&amp;$A25&amp;""' and A = '""&amp;E$24&amp;""'"")),0))"),13.0)</f>
        <v>13</v>
      </c>
      <c r="F25" s="82">
        <f>IFERROR(__xludf.DUMMYFUNCTION("if(isblank($A25),"""",iferror(sum(query('Saída'!$A$2:$G$505,""select E where B = '""&amp;$A25&amp;""' and A = '""&amp;F$24&amp;""'"")),0))"),100.0)</f>
        <v>100</v>
      </c>
      <c r="G25" s="82">
        <f>IFERROR(__xludf.DUMMYFUNCTION("if(isblank($A25),"""",iferror(sum(query('Saída'!$A$2:$G$505,""select E where B = '""&amp;$A25&amp;""' and A = '""&amp;G$24&amp;""'"")),0))"),0.0)</f>
        <v>0</v>
      </c>
      <c r="H25" s="82">
        <f>IFERROR(__xludf.DUMMYFUNCTION("if(isblank($A25),"""",iferror(sum(query('Saída'!$A$2:$G$505,""select E where B = '""&amp;$A25&amp;""' and A = '""&amp;H$24&amp;""'"")),0))"),20.0)</f>
        <v>20</v>
      </c>
      <c r="I25" s="82">
        <f>IFERROR(__xludf.DUMMYFUNCTION("if(isblank($A25),"""",iferror(sum(query('Saída'!$A$2:$G$505,""select E where B = '""&amp;$A25&amp;""' and A = '""&amp;I$24&amp;""'"")),0))"),24.97)</f>
        <v>24.97</v>
      </c>
      <c r="J25" s="82">
        <f>IFERROR(__xludf.DUMMYFUNCTION("if(isblank($A25),"""",iferror(sum(query('Saída'!$A$2:$G$505,""select E where B = '""&amp;$A25&amp;""' and A = '""&amp;J$24&amp;""'"")),0))"),127.49)</f>
        <v>127.49</v>
      </c>
      <c r="K25" s="82">
        <f>IFERROR(__xludf.DUMMYFUNCTION("if(isblank($A25),"""",iferror(sum(query('Saída'!$A$2:$G$505,""select E where B = '""&amp;$A25&amp;""' and A = '""&amp;K$24&amp;""'"")),0))"),147.8)</f>
        <v>147.8</v>
      </c>
      <c r="L25" s="82">
        <f>IFERROR(__xludf.DUMMYFUNCTION("if(isblank($A25),"""",iferror(sum(query('Saída'!$A$2:$G$505,""select E where B = '""&amp;$A25&amp;""' and A = '""&amp;L$24&amp;""'"")),0))"),198.98)</f>
        <v>198.98</v>
      </c>
      <c r="M25" s="82">
        <f>IFERROR(__xludf.DUMMYFUNCTION("if(isblank($A25),"""",iferror(sum(query('Saída'!$A$2:$G$505,""select E where B = '""&amp;$A25&amp;""' and A = '""&amp;M$24&amp;""'"")),0))"),200.32999999999998)</f>
        <v>200.33</v>
      </c>
      <c r="N25" s="82">
        <f t="shared" ref="N25:N41" si="3">if(isblank($A25),"",sum(B25:M25))</f>
        <v>1023.64</v>
      </c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r="26">
      <c r="A26" s="93" t="str">
        <f>IFERROR(__xludf.DUMMYFUNCTION("""COMPUTED_VALUE"""),"Habitação")</f>
        <v>Habitação</v>
      </c>
      <c r="B26" s="82">
        <f>IFERROR(__xludf.DUMMYFUNCTION("if(isblank($A26),"""",iferror(sum(query('Saída'!$A$3:$G$505,""select E where B = '""&amp;$A26&amp;""' and A = '""&amp;B$24&amp;""'"")),0))"),100.0)</f>
        <v>100</v>
      </c>
      <c r="C26" s="82">
        <f>IFERROR(__xludf.DUMMYFUNCTION("if(isblank($A26),"""",iferror(sum(query('Saída'!$A$2:$G$505,""select E where B = '""&amp;$A26&amp;""' and A = '""&amp;C$24&amp;""'"")),0))"),217.46)</f>
        <v>217.46</v>
      </c>
      <c r="D26" s="82">
        <f>IFERROR(__xludf.DUMMYFUNCTION("if(isblank($A26),"""",iferror(sum(query('Saída'!$A$2:$G$505,""select E where B = '""&amp;$A26&amp;""' and A = '""&amp;D$24&amp;""'"")),0))"),0.0)</f>
        <v>0</v>
      </c>
      <c r="E26" s="82">
        <f>IFERROR(__xludf.DUMMYFUNCTION("if(isblank($A26),"""",iferror(sum(query('Saída'!$A$2:$G$505,""select E where B = '""&amp;$A26&amp;""' and A = '""&amp;E$24&amp;""'"")),0))"),0.0)</f>
        <v>0</v>
      </c>
      <c r="F26" s="82">
        <f>IFERROR(__xludf.DUMMYFUNCTION("if(isblank($A26),"""",iferror(sum(query('Saída'!$A$2:$G$505,""select E where B = '""&amp;$A26&amp;""' and A = '""&amp;F$24&amp;""'"")),0))"),0.0)</f>
        <v>0</v>
      </c>
      <c r="G26" s="82">
        <f>IFERROR(__xludf.DUMMYFUNCTION("if(isblank($A26),"""",iferror(sum(query('Saída'!$A$2:$G$505,""select E where B = '""&amp;$A26&amp;""' and A = '""&amp;G$24&amp;""'"")),0))"),0.0)</f>
        <v>0</v>
      </c>
      <c r="H26" s="82">
        <f>IFERROR(__xludf.DUMMYFUNCTION("if(isblank($A26),"""",iferror(sum(query('Saída'!$A$2:$G$505,""select E where B = '""&amp;$A26&amp;""' and A = '""&amp;H$24&amp;""'"")),0))"),0.0)</f>
        <v>0</v>
      </c>
      <c r="I26" s="82">
        <f>IFERROR(__xludf.DUMMYFUNCTION("if(isblank($A26),"""",iferror(sum(query('Saída'!$A$2:$G$505,""select E where B = '""&amp;$A26&amp;""' and A = '""&amp;I$24&amp;""'"")),0))"),0.0)</f>
        <v>0</v>
      </c>
      <c r="J26" s="82">
        <f>IFERROR(__xludf.DUMMYFUNCTION("if(isblank($A26),"""",iferror(sum(query('Saída'!$A$2:$G$505,""select E where B = '""&amp;$A26&amp;""' and A = '""&amp;J$24&amp;""'"")),0))"),0.0)</f>
        <v>0</v>
      </c>
      <c r="K26" s="82">
        <f>IFERROR(__xludf.DUMMYFUNCTION("if(isblank($A26),"""",iferror(sum(query('Saída'!$A$2:$G$505,""select E where B = '""&amp;$A26&amp;""' and A = '""&amp;K$24&amp;""'"")),0))"),582.29)</f>
        <v>582.29</v>
      </c>
      <c r="L26" s="82">
        <f>IFERROR(__xludf.DUMMYFUNCTION("if(isblank($A26),"""",iferror(sum(query('Saída'!$A$2:$G$505,""select E where B = '""&amp;$A26&amp;""' and A = '""&amp;L$24&amp;""'"")),0))"),189.0)</f>
        <v>189</v>
      </c>
      <c r="M26" s="82">
        <f>IFERROR(__xludf.DUMMYFUNCTION("if(isblank($A26),"""",iferror(sum(query('Saída'!$A$2:$G$505,""select E where B = '""&amp;$A26&amp;""' and A = '""&amp;M$24&amp;""'"")),0))"),103.52)</f>
        <v>103.52</v>
      </c>
      <c r="N26" s="82">
        <f t="shared" si="3"/>
        <v>1192.27</v>
      </c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r="27">
      <c r="A27" s="93" t="str">
        <f>IFERROR(__xludf.DUMMYFUNCTION("""COMPUTED_VALUE"""),"Lazer")</f>
        <v>Lazer</v>
      </c>
      <c r="B27" s="82">
        <f>IFERROR(__xludf.DUMMYFUNCTION("if(isblank($A27),"""",iferror(sum(query('Saída'!$A$3:$G$505,""select E where B = '""&amp;$A27&amp;""' and A = '""&amp;B$24&amp;""'"")),0))"),229.0)</f>
        <v>229</v>
      </c>
      <c r="C27" s="82">
        <f>IFERROR(__xludf.DUMMYFUNCTION("if(isblank($A27),"""",iferror(sum(query('Saída'!$A$2:$G$505,""select E where B = '""&amp;$A27&amp;""' and A = '""&amp;C$24&amp;""'"")),0))"),187.0)</f>
        <v>187</v>
      </c>
      <c r="D27" s="82">
        <f>IFERROR(__xludf.DUMMYFUNCTION("if(isblank($A27),"""",iferror(sum(query('Saída'!$A$2:$G$505,""select E where B = '""&amp;$A27&amp;""' and A = '""&amp;D$24&amp;""'"")),0))"),20.5)</f>
        <v>20.5</v>
      </c>
      <c r="E27" s="82">
        <f>IFERROR(__xludf.DUMMYFUNCTION("if(isblank($A27),"""",iferror(sum(query('Saída'!$A$2:$G$505,""select E where B = '""&amp;$A27&amp;""' and A = '""&amp;E$24&amp;""'"")),0))"),0.0)</f>
        <v>0</v>
      </c>
      <c r="F27" s="82">
        <f>IFERROR(__xludf.DUMMYFUNCTION("if(isblank($A27),"""",iferror(sum(query('Saída'!$A$2:$G$505,""select E where B = '""&amp;$A27&amp;""' and A = '""&amp;F$24&amp;""'"")),0))"),5.0)</f>
        <v>5</v>
      </c>
      <c r="G27" s="82">
        <f>IFERROR(__xludf.DUMMYFUNCTION("if(isblank($A27),"""",iferror(sum(query('Saída'!$A$2:$G$505,""select E where B = '""&amp;$A27&amp;""' and A = '""&amp;G$24&amp;""'"")),0))"),0.0)</f>
        <v>0</v>
      </c>
      <c r="H27" s="82">
        <f>IFERROR(__xludf.DUMMYFUNCTION("if(isblank($A27),"""",iferror(sum(query('Saída'!$A$2:$G$505,""select E where B = '""&amp;$A27&amp;""' and A = '""&amp;H$24&amp;""'"")),0))"),70.0)</f>
        <v>70</v>
      </c>
      <c r="I27" s="82">
        <f>IFERROR(__xludf.DUMMYFUNCTION("if(isblank($A27),"""",iferror(sum(query('Saída'!$A$2:$G$505,""select E where B = '""&amp;$A27&amp;""' and A = '""&amp;I$24&amp;""'"")),0))"),0.0)</f>
        <v>0</v>
      </c>
      <c r="J27" s="82">
        <f>IFERROR(__xludf.DUMMYFUNCTION("if(isblank($A27),"""",iferror(sum(query('Saída'!$A$2:$G$505,""select E where B = '""&amp;$A27&amp;""' and A = '""&amp;J$24&amp;""'"")),0))"),0.0)</f>
        <v>0</v>
      </c>
      <c r="K27" s="82">
        <f>IFERROR(__xludf.DUMMYFUNCTION("if(isblank($A27),"""",iferror(sum(query('Saída'!$A$2:$G$505,""select E where B = '""&amp;$A27&amp;""' and A = '""&amp;K$24&amp;""'"")),0))"),0.0)</f>
        <v>0</v>
      </c>
      <c r="L27" s="82">
        <f>IFERROR(__xludf.DUMMYFUNCTION("if(isblank($A27),"""",iferror(sum(query('Saída'!$A$2:$G$505,""select E where B = '""&amp;$A27&amp;""' and A = '""&amp;L$24&amp;""'"")),0))"),0.0)</f>
        <v>0</v>
      </c>
      <c r="M27" s="82">
        <f>IFERROR(__xludf.DUMMYFUNCTION("if(isblank($A27),"""",iferror(sum(query('Saída'!$A$2:$G$505,""select E where B = '""&amp;$A27&amp;""' and A = '""&amp;M$24&amp;""'"")),0))"),30.0)</f>
        <v>30</v>
      </c>
      <c r="N27" s="82">
        <f t="shared" si="3"/>
        <v>541.5</v>
      </c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  <row r="28">
      <c r="A28" s="93" t="str">
        <f>IFERROR(__xludf.DUMMYFUNCTION("""COMPUTED_VALUE"""),"Transporte")</f>
        <v>Transporte</v>
      </c>
      <c r="B28" s="82">
        <f>IFERROR(__xludf.DUMMYFUNCTION("if(isblank($A28),"""",iferror(sum(query('Saída'!$A$3:$G$505,""select E where B = '""&amp;$A28&amp;""' and A = '""&amp;B$24&amp;""'"")),0))"),40.5)</f>
        <v>40.5</v>
      </c>
      <c r="C28" s="82">
        <f>IFERROR(__xludf.DUMMYFUNCTION("if(isblank($A28),"""",iferror(sum(query('Saída'!$A$2:$G$505,""select E where B = '""&amp;$A28&amp;""' and A = '""&amp;C$24&amp;""'"")),0))"),2.0)</f>
        <v>2</v>
      </c>
      <c r="D28" s="82">
        <f>IFERROR(__xludf.DUMMYFUNCTION("if(isblank($A28),"""",iferror(sum(query('Saída'!$A$2:$G$505,""select E where B = '""&amp;$A28&amp;""' and A = '""&amp;D$24&amp;""'"")),0))"),414.0)</f>
        <v>414</v>
      </c>
      <c r="E28" s="82">
        <f>IFERROR(__xludf.DUMMYFUNCTION("if(isblank($A28),"""",iferror(sum(query('Saída'!$A$2:$G$505,""select E where B = '""&amp;$A28&amp;""' and A = '""&amp;E$24&amp;""'"")),0))"),0.0)</f>
        <v>0</v>
      </c>
      <c r="F28" s="82">
        <f>IFERROR(__xludf.DUMMYFUNCTION("if(isblank($A28),"""",iferror(sum(query('Saída'!$A$2:$G$505,""select E where B = '""&amp;$A28&amp;""' and A = '""&amp;F$24&amp;""'"")),0))"),0.0)</f>
        <v>0</v>
      </c>
      <c r="G28" s="82">
        <f>IFERROR(__xludf.DUMMYFUNCTION("if(isblank($A28),"""",iferror(sum(query('Saída'!$A$2:$G$505,""select E where B = '""&amp;$A28&amp;""' and A = '""&amp;G$24&amp;""'"")),0))"),0.0)</f>
        <v>0</v>
      </c>
      <c r="H28" s="82">
        <f>IFERROR(__xludf.DUMMYFUNCTION("if(isblank($A28),"""",iferror(sum(query('Saída'!$A$2:$G$505,""select E where B = '""&amp;$A28&amp;""' and A = '""&amp;H$24&amp;""'"")),0))"),15.44)</f>
        <v>15.44</v>
      </c>
      <c r="I28" s="82">
        <f>IFERROR(__xludf.DUMMYFUNCTION("if(isblank($A28),"""",iferror(sum(query('Saída'!$A$2:$G$505,""select E where B = '""&amp;$A28&amp;""' and A = '""&amp;I$24&amp;""'"")),0))"),172.0)</f>
        <v>172</v>
      </c>
      <c r="J28" s="82">
        <f>IFERROR(__xludf.DUMMYFUNCTION("if(isblank($A28),"""",iferror(sum(query('Saída'!$A$2:$G$505,""select E where B = '""&amp;$A28&amp;""' and A = '""&amp;J$24&amp;""'"")),0))"),0.0)</f>
        <v>0</v>
      </c>
      <c r="K28" s="82">
        <f>IFERROR(__xludf.DUMMYFUNCTION("if(isblank($A28),"""",iferror(sum(query('Saída'!$A$2:$G$505,""select E where B = '""&amp;$A28&amp;""' and A = '""&amp;K$24&amp;""'"")),0))"),40.480000000000004)</f>
        <v>40.48</v>
      </c>
      <c r="L28" s="82">
        <f>IFERROR(__xludf.DUMMYFUNCTION("if(isblank($A28),"""",iferror(sum(query('Saída'!$A$2:$G$505,""select E where B = '""&amp;$A28&amp;""' and A = '""&amp;L$24&amp;""'"")),0))"),0.0)</f>
        <v>0</v>
      </c>
      <c r="M28" s="82">
        <f>IFERROR(__xludf.DUMMYFUNCTION("if(isblank($A28),"""",iferror(sum(query('Saída'!$A$2:$G$505,""select E where B = '""&amp;$A28&amp;""' and A = '""&amp;M$24&amp;""'"")),0))"),120.0)</f>
        <v>120</v>
      </c>
      <c r="N28" s="82">
        <f t="shared" si="3"/>
        <v>804.42</v>
      </c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</row>
    <row r="29">
      <c r="A29" s="93" t="str">
        <f>IFERROR(__xludf.DUMMYFUNCTION("""COMPUTED_VALUE"""),"Extra")</f>
        <v>Extra</v>
      </c>
      <c r="B29" s="82">
        <f>IFERROR(__xludf.DUMMYFUNCTION("if(isblank($A29),"""",iferror(sum(query('Saída'!$A$3:$G$505,""select E where B = '""&amp;$A29&amp;""' and A = '""&amp;B$24&amp;""'"")),0))"),98.0)</f>
        <v>98</v>
      </c>
      <c r="C29" s="82">
        <f>IFERROR(__xludf.DUMMYFUNCTION("if(isblank($A29),"""",iferror(sum(query('Saída'!$A$2:$G$505,""select E where B = '""&amp;$A29&amp;""' and A = '""&amp;C$24&amp;""'"")),0))"),34.0)</f>
        <v>34</v>
      </c>
      <c r="D29" s="82">
        <f>IFERROR(__xludf.DUMMYFUNCTION("if(isblank($A29),"""",iferror(sum(query('Saída'!$A$2:$G$505,""select E where B = '""&amp;$A29&amp;""' and A = '""&amp;D$24&amp;""'"")),0))"),0.0)</f>
        <v>0</v>
      </c>
      <c r="E29" s="82">
        <f>IFERROR(__xludf.DUMMYFUNCTION("if(isblank($A29),"""",iferror(sum(query('Saída'!$A$2:$G$505,""select E where B = '""&amp;$A29&amp;""' and A = '""&amp;E$24&amp;""'"")),0))"),278.0)</f>
        <v>278</v>
      </c>
      <c r="F29" s="82">
        <f>IFERROR(__xludf.DUMMYFUNCTION("if(isblank($A29),"""",iferror(sum(query('Saída'!$A$2:$G$505,""select E where B = '""&amp;$A29&amp;""' and A = '""&amp;F$24&amp;""'"")),0))"),565.0)</f>
        <v>565</v>
      </c>
      <c r="G29" s="82">
        <f>IFERROR(__xludf.DUMMYFUNCTION("if(isblank($A29),"""",iferror(sum(query('Saída'!$A$2:$G$505,""select E where B = '""&amp;$A29&amp;""' and A = '""&amp;G$24&amp;""'"")),0))"),91.1)</f>
        <v>91.1</v>
      </c>
      <c r="H29" s="82">
        <f>IFERROR(__xludf.DUMMYFUNCTION("if(isblank($A29),"""",iferror(sum(query('Saída'!$A$2:$G$505,""select E where B = '""&amp;$A29&amp;""' and A = '""&amp;H$24&amp;""'"")),0))"),3.13)</f>
        <v>3.13</v>
      </c>
      <c r="I29" s="82">
        <f>IFERROR(__xludf.DUMMYFUNCTION("if(isblank($A29),"""",iferror(sum(query('Saída'!$A$2:$G$505,""select E where B = '""&amp;$A29&amp;""' and A = '""&amp;I$24&amp;""'"")),0))"),0.0)</f>
        <v>0</v>
      </c>
      <c r="J29" s="82">
        <f>IFERROR(__xludf.DUMMYFUNCTION("if(isblank($A29),"""",iferror(sum(query('Saída'!$A$2:$G$505,""select E where B = '""&amp;$A29&amp;""' and A = '""&amp;J$24&amp;""'"")),0))"),0.0)</f>
        <v>0</v>
      </c>
      <c r="K29" s="82">
        <f>IFERROR(__xludf.DUMMYFUNCTION("if(isblank($A29),"""",iferror(sum(query('Saída'!$A$2:$G$505,""select E where B = '""&amp;$A29&amp;""' and A = '""&amp;K$24&amp;""'"")),0))"),17.0)</f>
        <v>17</v>
      </c>
      <c r="L29" s="82">
        <f>IFERROR(__xludf.DUMMYFUNCTION("if(isblank($A29),"""",iferror(sum(query('Saída'!$A$2:$G$505,""select E where B = '""&amp;$A29&amp;""' and A = '""&amp;L$24&amp;""'"")),0))"),228.1)</f>
        <v>228.1</v>
      </c>
      <c r="M29" s="82">
        <f>IFERROR(__xludf.DUMMYFUNCTION("if(isblank($A29),"""",iferror(sum(query('Saída'!$A$2:$G$505,""select E where B = '""&amp;$A29&amp;""' and A = '""&amp;M$24&amp;""'"")),0))"),0.0)</f>
        <v>0</v>
      </c>
      <c r="N29" s="82">
        <f t="shared" si="3"/>
        <v>1314.33</v>
      </c>
    </row>
    <row r="30">
      <c r="A30" s="93" t="str">
        <f>IFERROR(__xludf.DUMMYFUNCTION("""COMPUTED_VALUE"""),"Educação")</f>
        <v>Educação</v>
      </c>
      <c r="B30" s="82">
        <f>IFERROR(__xludf.DUMMYFUNCTION("if(isblank($A30),"""",iferror(sum(query('Saída'!$A$3:$G$505,""select E where B = '""&amp;$A30&amp;""' and A = '""&amp;B$24&amp;""'"")),0))"),0.0)</f>
        <v>0</v>
      </c>
      <c r="C30" s="82">
        <f>IFERROR(__xludf.DUMMYFUNCTION("if(isblank($A30),"""",iferror(sum(query('Saída'!$A$2:$G$505,""select E where B = '""&amp;$A30&amp;""' and A = '""&amp;C$24&amp;""'"")),0))"),0.0)</f>
        <v>0</v>
      </c>
      <c r="D30" s="82">
        <f>IFERROR(__xludf.DUMMYFUNCTION("if(isblank($A30),"""",iferror(sum(query('Saída'!$A$2:$G$505,""select E where B = '""&amp;$A30&amp;""' and A = '""&amp;D$24&amp;""'"")),0))"),0.0)</f>
        <v>0</v>
      </c>
      <c r="E30" s="82">
        <f>IFERROR(__xludf.DUMMYFUNCTION("if(isblank($A30),"""",iferror(sum(query('Saída'!$A$2:$G$505,""select E where B = '""&amp;$A30&amp;""' and A = '""&amp;E$24&amp;""'"")),0))"),0.0)</f>
        <v>0</v>
      </c>
      <c r="F30" s="82">
        <f>IFERROR(__xludf.DUMMYFUNCTION("if(isblank($A30),"""",iferror(sum(query('Saída'!$A$2:$G$505,""select E where B = '""&amp;$A30&amp;""' and A = '""&amp;F$24&amp;""'"")),0))"),0.0)</f>
        <v>0</v>
      </c>
      <c r="G30" s="82">
        <f>IFERROR(__xludf.DUMMYFUNCTION("if(isblank($A30),"""",iferror(sum(query('Saída'!$A$2:$G$505,""select E where B = '""&amp;$A30&amp;""' and A = '""&amp;G$24&amp;""'"")),0))"),0.0)</f>
        <v>0</v>
      </c>
      <c r="H30" s="82">
        <f>IFERROR(__xludf.DUMMYFUNCTION("if(isblank($A30),"""",iferror(sum(query('Saída'!$A$2:$G$505,""select E where B = '""&amp;$A30&amp;""' and A = '""&amp;H$24&amp;""'"")),0))"),0.0)</f>
        <v>0</v>
      </c>
      <c r="I30" s="82">
        <f>IFERROR(__xludf.DUMMYFUNCTION("if(isblank($A30),"""",iferror(sum(query('Saída'!$A$2:$G$505,""select E where B = '""&amp;$A30&amp;""' and A = '""&amp;I$24&amp;""'"")),0))"),0.0)</f>
        <v>0</v>
      </c>
      <c r="J30" s="82">
        <f>IFERROR(__xludf.DUMMYFUNCTION("if(isblank($A30),"""",iferror(sum(query('Saída'!$A$2:$G$505,""select E where B = '""&amp;$A30&amp;""' and A = '""&amp;J$24&amp;""'"")),0))"),0.0)</f>
        <v>0</v>
      </c>
      <c r="K30" s="82">
        <f>IFERROR(__xludf.DUMMYFUNCTION("if(isblank($A30),"""",iferror(sum(query('Saída'!$A$2:$G$505,""select E where B = '""&amp;$A30&amp;""' and A = '""&amp;K$24&amp;""'"")),0))"),0.0)</f>
        <v>0</v>
      </c>
      <c r="L30" s="82">
        <f>IFERROR(__xludf.DUMMYFUNCTION("if(isblank($A30),"""",iferror(sum(query('Saída'!$A$2:$G$505,""select E where B = '""&amp;$A30&amp;""' and A = '""&amp;L$24&amp;""'"")),0))"),0.0)</f>
        <v>0</v>
      </c>
      <c r="M30" s="82">
        <f>IFERROR(__xludf.DUMMYFUNCTION("if(isblank($A30),"""",iferror(sum(query('Saída'!$A$2:$G$505,""select E where B = '""&amp;$A30&amp;""' and A = '""&amp;M$24&amp;""'"")),0))"),0.0)</f>
        <v>0</v>
      </c>
      <c r="N30" s="82">
        <f t="shared" si="3"/>
        <v>0</v>
      </c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</row>
    <row r="31">
      <c r="A31" s="93" t="str">
        <f>IFERROR(__xludf.DUMMYFUNCTION("""COMPUTED_VALUE"""),"Saúde")</f>
        <v>Saúde</v>
      </c>
      <c r="B31" s="82">
        <f>IFERROR(__xludf.DUMMYFUNCTION("if(isblank($A31),"""",iferror(sum(query('Saída'!$A$3:$G$505,""select E where B = '""&amp;$A31&amp;""' and A = '""&amp;B$24&amp;""'"")),0))"),31.02)</f>
        <v>31.02</v>
      </c>
      <c r="C31" s="82">
        <f>IFERROR(__xludf.DUMMYFUNCTION("if(isblank($A31),"""",iferror(sum(query('Saída'!$A$2:$G$505,""select E where B = '""&amp;$A31&amp;""' and A = '""&amp;C$24&amp;""'"")),0))"),5.95)</f>
        <v>5.95</v>
      </c>
      <c r="D31" s="82">
        <f>IFERROR(__xludf.DUMMYFUNCTION("if(isblank($A31),"""",iferror(sum(query('Saída'!$A$2:$G$505,""select E where B = '""&amp;$A31&amp;""' and A = '""&amp;D$24&amp;""'"")),0))"),0.0)</f>
        <v>0</v>
      </c>
      <c r="E31" s="82">
        <f>IFERROR(__xludf.DUMMYFUNCTION("if(isblank($A31),"""",iferror(sum(query('Saída'!$A$2:$G$505,""select E where B = '""&amp;$A31&amp;""' and A = '""&amp;E$24&amp;""'"")),0))"),8.0)</f>
        <v>8</v>
      </c>
      <c r="F31" s="82">
        <f>IFERROR(__xludf.DUMMYFUNCTION("if(isblank($A31),"""",iferror(sum(query('Saída'!$A$2:$G$505,""select E where B = '""&amp;$A31&amp;""' and A = '""&amp;F$24&amp;""'"")),0))"),0.0)</f>
        <v>0</v>
      </c>
      <c r="G31" s="82">
        <f>IFERROR(__xludf.DUMMYFUNCTION("if(isblank($A31),"""",iferror(sum(query('Saída'!$A$2:$G$505,""select E where B = '""&amp;$A31&amp;""' and A = '""&amp;G$24&amp;""'"")),0))"),0.0)</f>
        <v>0</v>
      </c>
      <c r="H31" s="82">
        <f>IFERROR(__xludf.DUMMYFUNCTION("if(isblank($A31),"""",iferror(sum(query('Saída'!$A$2:$G$505,""select E where B = '""&amp;$A31&amp;""' and A = '""&amp;H$24&amp;""'"")),0))"),0.0)</f>
        <v>0</v>
      </c>
      <c r="I31" s="82">
        <f>IFERROR(__xludf.DUMMYFUNCTION("if(isblank($A31),"""",iferror(sum(query('Saída'!$A$2:$G$505,""select E where B = '""&amp;$A31&amp;""' and A = '""&amp;I$24&amp;""'"")),0))"),0.0)</f>
        <v>0</v>
      </c>
      <c r="J31" s="82">
        <f>IFERROR(__xludf.DUMMYFUNCTION("if(isblank($A31),"""",iferror(sum(query('Saída'!$A$2:$G$505,""select E where B = '""&amp;$A31&amp;""' and A = '""&amp;J$24&amp;""'"")),0))"),10.0)</f>
        <v>10</v>
      </c>
      <c r="K31" s="82">
        <f>IFERROR(__xludf.DUMMYFUNCTION("if(isblank($A31),"""",iferror(sum(query('Saída'!$A$2:$G$505,""select E where B = '""&amp;$A31&amp;""' and A = '""&amp;K$24&amp;""'"")),0))"),38.23)</f>
        <v>38.23</v>
      </c>
      <c r="L31" s="82">
        <f>IFERROR(__xludf.DUMMYFUNCTION("if(isblank($A31),"""",iferror(sum(query('Saída'!$A$2:$G$505,""select E where B = '""&amp;$A31&amp;""' and A = '""&amp;L$24&amp;""'"")),0))"),96.67)</f>
        <v>96.67</v>
      </c>
      <c r="M31" s="82">
        <f>IFERROR(__xludf.DUMMYFUNCTION("if(isblank($A31),"""",iferror(sum(query('Saída'!$A$2:$G$505,""select E where B = '""&amp;$A31&amp;""' and A = '""&amp;M$24&amp;""'"")),0))"),0.0)</f>
        <v>0</v>
      </c>
      <c r="N31" s="82">
        <f t="shared" si="3"/>
        <v>189.87</v>
      </c>
      <c r="O31" s="80"/>
      <c r="P31" s="89"/>
      <c r="Q31" s="80"/>
      <c r="R31" s="80"/>
      <c r="S31" s="80"/>
      <c r="T31" s="80"/>
      <c r="U31" s="80"/>
      <c r="V31" s="80"/>
      <c r="W31" s="80"/>
      <c r="X31" s="80"/>
      <c r="Y31" s="80"/>
    </row>
    <row r="32">
      <c r="A32" s="93" t="str">
        <f>IFERROR(__xludf.DUMMYFUNCTION("""COMPUTED_VALUE"""),"Fatura")</f>
        <v>Fatura</v>
      </c>
      <c r="B32" s="82">
        <f>IFERROR(__xludf.DUMMYFUNCTION("if(isblank($A32),"""",iferror(sum(query('Saída'!$A$3:$G$505,""select E where B = '""&amp;$A32&amp;""' and A = '""&amp;B$24&amp;""'"")),0))"),540.07)</f>
        <v>540.07</v>
      </c>
      <c r="C32" s="82">
        <f>IFERROR(__xludf.DUMMYFUNCTION("if(isblank($A32),"""",iferror(sum(query('Saída'!$A$2:$G$505,""select E where B = '""&amp;$A32&amp;""' and A = '""&amp;C$24&amp;""'"")),0))"),577.8)</f>
        <v>577.8</v>
      </c>
      <c r="D32" s="82">
        <f>IFERROR(__xludf.DUMMYFUNCTION("if(isblank($A32),"""",iferror(sum(query('Saída'!$A$2:$G$505,""select E where B = '""&amp;$A32&amp;""' and A = '""&amp;D$24&amp;""'"")),0))"),561.0)</f>
        <v>561</v>
      </c>
      <c r="E32" s="82">
        <f>IFERROR(__xludf.DUMMYFUNCTION("if(isblank($A32),"""",iferror(sum(query('Saída'!$A$2:$G$505,""select E where B = '""&amp;$A32&amp;""' and A = '""&amp;E$24&amp;""'"")),0))"),548.35)</f>
        <v>548.35</v>
      </c>
      <c r="F32" s="82">
        <f>IFERROR(__xludf.DUMMYFUNCTION("if(isblank($A32),"""",iferror(sum(query('Saída'!$A$2:$G$505,""select E where B = '""&amp;$A32&amp;""' and A = '""&amp;F$24&amp;""'"")),0))"),130.15)</f>
        <v>130.15</v>
      </c>
      <c r="G32" s="82">
        <f>IFERROR(__xludf.DUMMYFUNCTION("if(isblank($A32),"""",iferror(sum(query('Saída'!$A$2:$G$505,""select E where B = '""&amp;$A32&amp;""' and A = '""&amp;G$24&amp;""'"")),0))"),107.19)</f>
        <v>107.19</v>
      </c>
      <c r="H32" s="82">
        <f>IFERROR(__xludf.DUMMYFUNCTION("if(isblank($A32),"""",iferror(sum(query('Saída'!$A$2:$G$505,""select E where B = '""&amp;$A32&amp;""' and A = '""&amp;H$24&amp;""'"")),0))"),442.4)</f>
        <v>442.4</v>
      </c>
      <c r="I32" s="82">
        <f>IFERROR(__xludf.DUMMYFUNCTION("if(isblank($A32),"""",iferror(sum(query('Saída'!$A$2:$G$505,""select E where B = '""&amp;$A32&amp;""' and A = '""&amp;I$24&amp;""'"")),0))"),0.0)</f>
        <v>0</v>
      </c>
      <c r="J32" s="82">
        <f>IFERROR(__xludf.DUMMYFUNCTION("if(isblank($A32),"""",iferror(sum(query('Saída'!$A$2:$G$505,""select E where B = '""&amp;$A32&amp;""' and A = '""&amp;J$24&amp;""'"")),0))"),65.67)</f>
        <v>65.67</v>
      </c>
      <c r="K32" s="82">
        <f>IFERROR(__xludf.DUMMYFUNCTION("if(isblank($A32),"""",iferror(sum(query('Saída'!$A$2:$G$505,""select E where B = '""&amp;$A32&amp;""' and A = '""&amp;K$24&amp;""'"")),0))"),199.21)</f>
        <v>199.21</v>
      </c>
      <c r="L32" s="82">
        <f>IFERROR(__xludf.DUMMYFUNCTION("if(isblank($A32),"""",iferror(sum(query('Saída'!$A$2:$G$505,""select E where B = '""&amp;$A32&amp;""' and A = '""&amp;L$24&amp;""'"")),0))"),239.82)</f>
        <v>239.82</v>
      </c>
      <c r="M32" s="82">
        <f>IFERROR(__xludf.DUMMYFUNCTION("if(isblank($A32),"""",iferror(sum(query('Saída'!$A$2:$G$505,""select E where B = '""&amp;$A32&amp;""' and A = '""&amp;M$24&amp;""'"")),0))"),289.78)</f>
        <v>289.78</v>
      </c>
      <c r="N32" s="82">
        <f t="shared" si="3"/>
        <v>3701.44</v>
      </c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</row>
    <row r="33">
      <c r="A33" s="94" t="str">
        <f>IFERROR(__xludf.DUMMYFUNCTION("""COMPUTED_VALUE"""),"Serviços")</f>
        <v>Serviços</v>
      </c>
      <c r="B33" s="82">
        <f>IFERROR(__xludf.DUMMYFUNCTION("if(isblank($A33),"""",iferror(sum(query('Saída'!$A$3:$G$505,""select E where B = '""&amp;$A33&amp;""' and A = '""&amp;B$24&amp;""'"")),0))"),137.55)</f>
        <v>137.55</v>
      </c>
      <c r="C33" s="82">
        <f>IFERROR(__xludf.DUMMYFUNCTION("if(isblank($A33),"""",iferror(sum(query('Saída'!$A$2:$G$505,""select E where B = '""&amp;$A33&amp;""' and A = '""&amp;C$24&amp;""'"")),0))"),552.35)</f>
        <v>552.35</v>
      </c>
      <c r="D33" s="82">
        <f>IFERROR(__xludf.DUMMYFUNCTION("if(isblank($A33),"""",iferror(sum(query('Saída'!$A$2:$G$505,""select E where B = '""&amp;$A33&amp;""' and A = '""&amp;D$24&amp;""'"")),0))"),331.85)</f>
        <v>331.85</v>
      </c>
      <c r="E33" s="82">
        <f>IFERROR(__xludf.DUMMYFUNCTION("if(isblank($A33),"""",iferror(sum(query('Saída'!$A$2:$G$505,""select E where B = '""&amp;$A33&amp;""' and A = '""&amp;E$24&amp;""'"")),0))"),100.15)</f>
        <v>100.15</v>
      </c>
      <c r="F33" s="82">
        <f>IFERROR(__xludf.DUMMYFUNCTION("if(isblank($A33),"""",iferror(sum(query('Saída'!$A$2:$G$505,""select E where B = '""&amp;$A33&amp;""' and A = '""&amp;F$24&amp;""'"")),0))"),0.0)</f>
        <v>0</v>
      </c>
      <c r="G33" s="82">
        <f>IFERROR(__xludf.DUMMYFUNCTION("if(isblank($A33),"""",iferror(sum(query('Saída'!$A$2:$G$505,""select E where B = '""&amp;$A33&amp;""' and A = '""&amp;G$24&amp;""'"")),0))"),0.0)</f>
        <v>0</v>
      </c>
      <c r="H33" s="82">
        <f>IFERROR(__xludf.DUMMYFUNCTION("if(isblank($A33),"""",iferror(sum(query('Saída'!$A$2:$G$505,""select E where B = '""&amp;$A33&amp;""' and A = '""&amp;H$24&amp;""'"")),0))"),58.0)</f>
        <v>58</v>
      </c>
      <c r="I33" s="82">
        <f>IFERROR(__xludf.DUMMYFUNCTION("if(isblank($A33),"""",iferror(sum(query('Saída'!$A$2:$G$505,""select E where B = '""&amp;$A33&amp;""' and A = '""&amp;I$24&amp;""'"")),0))"),172.0)</f>
        <v>172</v>
      </c>
      <c r="J33" s="82">
        <f>IFERROR(__xludf.DUMMYFUNCTION("if(isblank($A33),"""",iferror(sum(query('Saída'!$A$2:$G$505,""select E where B = '""&amp;$A33&amp;""' and A = '""&amp;J$24&amp;""'"")),0))"),0.0)</f>
        <v>0</v>
      </c>
      <c r="K33" s="82">
        <f>IFERROR(__xludf.DUMMYFUNCTION("if(isblank($A33),"""",iferror(sum(query('Saída'!$A$2:$G$505,""select E where B = '""&amp;$A33&amp;""' and A = '""&amp;K$24&amp;""'"")),0))"),202.0)</f>
        <v>202</v>
      </c>
      <c r="L33" s="82">
        <f>IFERROR(__xludf.DUMMYFUNCTION("if(isblank($A33),"""",iferror(sum(query('Saída'!$A$2:$G$505,""select E where B = '""&amp;$A33&amp;""' and A = '""&amp;L$24&amp;""'"")),0))"),240.0)</f>
        <v>240</v>
      </c>
      <c r="M33" s="82">
        <f>IFERROR(__xludf.DUMMYFUNCTION("if(isblank($A33),"""",iferror(sum(query('Saída'!$A$2:$G$505,""select E where B = '""&amp;$A33&amp;""' and A = '""&amp;M$24&amp;""'"")),0))"),290.9)</f>
        <v>290.9</v>
      </c>
      <c r="N33" s="82">
        <f t="shared" si="3"/>
        <v>2084.8</v>
      </c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</row>
    <row r="34">
      <c r="A34" s="94" t="str">
        <f>IFERROR(__xludf.DUMMYFUNCTION("""COMPUTED_VALUE"""),"Produtos")</f>
        <v>Produtos</v>
      </c>
      <c r="B34" s="82">
        <f>IFERROR(__xludf.DUMMYFUNCTION("if(isblank($A34),"""",iferror(sum(query('Saída'!$A$3:$G$505,""select E where B = '""&amp;$A34&amp;""' and A = '""&amp;B$24&amp;""'"")),0))"),0.0)</f>
        <v>0</v>
      </c>
      <c r="C34" s="82">
        <f>IFERROR(__xludf.DUMMYFUNCTION("if(isblank($A34),"""",iferror(sum(query('Saída'!$A$2:$G$505,""select E where B = '""&amp;$A34&amp;""' and A = '""&amp;C$24&amp;""'"")),0))"),0.0)</f>
        <v>0</v>
      </c>
      <c r="D34" s="82">
        <f>IFERROR(__xludf.DUMMYFUNCTION("if(isblank($A34),"""",iferror(sum(query('Saída'!$A$2:$G$505,""select E where B = '""&amp;$A34&amp;""' and A = '""&amp;D$24&amp;""'"")),0))"),0.0)</f>
        <v>0</v>
      </c>
      <c r="E34" s="82">
        <f>IFERROR(__xludf.DUMMYFUNCTION("if(isblank($A34),"""",iferror(sum(query('Saída'!$A$2:$G$505,""select E where B = '""&amp;$A34&amp;""' and A = '""&amp;E$24&amp;""'"")),0))"),0.0)</f>
        <v>0</v>
      </c>
      <c r="F34" s="82">
        <f>IFERROR(__xludf.DUMMYFUNCTION("if(isblank($A34),"""",iferror(sum(query('Saída'!$A$2:$G$505,""select E where B = '""&amp;$A34&amp;""' and A = '""&amp;F$24&amp;""'"")),0))"),0.0)</f>
        <v>0</v>
      </c>
      <c r="G34" s="82">
        <f>IFERROR(__xludf.DUMMYFUNCTION("if(isblank($A34),"""",iferror(sum(query('Saída'!$A$2:$G$505,""select E where B = '""&amp;$A34&amp;""' and A = '""&amp;G$24&amp;""'"")),0))"),79.0)</f>
        <v>79</v>
      </c>
      <c r="H34" s="82">
        <f>IFERROR(__xludf.DUMMYFUNCTION("if(isblank($A34),"""",iferror(sum(query('Saída'!$A$2:$G$505,""select E where B = '""&amp;$A34&amp;""' and A = '""&amp;H$24&amp;""'"")),0))"),599.01)</f>
        <v>599.01</v>
      </c>
      <c r="I34" s="82">
        <f>IFERROR(__xludf.DUMMYFUNCTION("if(isblank($A34),"""",iferror(sum(query('Saída'!$A$2:$G$505,""select E where B = '""&amp;$A34&amp;""' and A = '""&amp;I$24&amp;""'"")),0))"),85.0)</f>
        <v>85</v>
      </c>
      <c r="J34" s="82">
        <f>IFERROR(__xludf.DUMMYFUNCTION("if(isblank($A34),"""",iferror(sum(query('Saída'!$A$2:$G$505,""select E where B = '""&amp;$A34&amp;""' and A = '""&amp;J$24&amp;""'"")),0))"),0.0)</f>
        <v>0</v>
      </c>
      <c r="K34" s="82">
        <f>IFERROR(__xludf.DUMMYFUNCTION("if(isblank($A34),"""",iferror(sum(query('Saída'!$A$2:$G$505,""select E where B = '""&amp;$A34&amp;""' and A = '""&amp;K$24&amp;""'"")),0))"),0.0)</f>
        <v>0</v>
      </c>
      <c r="L34" s="82">
        <f>IFERROR(__xludf.DUMMYFUNCTION("if(isblank($A34),"""",iferror(sum(query('Saída'!$A$2:$G$505,""select E where B = '""&amp;$A34&amp;""' and A = '""&amp;L$24&amp;""'"")),0))"),1948.99)</f>
        <v>1948.99</v>
      </c>
      <c r="M34" s="82">
        <f>IFERROR(__xludf.DUMMYFUNCTION("if(isblank($A34),"""",iferror(sum(query('Saída'!$A$2:$G$505,""select E where B = '""&amp;$A34&amp;""' and A = '""&amp;M$24&amp;""'"")),0))"),450.0)</f>
        <v>450</v>
      </c>
      <c r="N34" s="82">
        <f t="shared" si="3"/>
        <v>3162</v>
      </c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</row>
    <row r="35">
      <c r="A35" s="94"/>
      <c r="B35" s="82" t="str">
        <f>IFERROR(__xludf.DUMMYFUNCTION("if(isblank($A35),"""",iferror(sum(query('Saída'!$A$3:$G$505,""select E where B = '""&amp;$A35&amp;""' and A = '""&amp;B$24&amp;""'"")),0))"),"")</f>
        <v/>
      </c>
      <c r="C35" s="82" t="str">
        <f>IFERROR(__xludf.DUMMYFUNCTION("if(isblank($A35),"""",iferror(sum(query('Saída'!$A$2:$G$505,""select E where B = '""&amp;$A35&amp;""' and A = '""&amp;C$24&amp;""'"")),0))"),"")</f>
        <v/>
      </c>
      <c r="D35" s="82" t="str">
        <f>IFERROR(__xludf.DUMMYFUNCTION("if(isblank($A35),"""",iferror(sum(query('Saída'!$A$2:$G$505,""select E where B = '""&amp;$A35&amp;""' and A = '""&amp;D$24&amp;""'"")),0))"),"")</f>
        <v/>
      </c>
      <c r="E35" s="82" t="str">
        <f>IFERROR(__xludf.DUMMYFUNCTION("if(isblank($A35),"""",iferror(sum(query('Saída'!$A$2:$G$505,""select E where B = '""&amp;$A35&amp;""' and A = '""&amp;E$24&amp;""'"")),0))"),"")</f>
        <v/>
      </c>
      <c r="F35" s="82" t="str">
        <f>IFERROR(__xludf.DUMMYFUNCTION("if(isblank($A35),"""",iferror(sum(query('Saída'!$A$2:$G$505,""select E where B = '""&amp;$A35&amp;""' and A = '""&amp;F$24&amp;""'"")),0))"),"")</f>
        <v/>
      </c>
      <c r="G35" s="82" t="str">
        <f>IFERROR(__xludf.DUMMYFUNCTION("if(isblank($A35),"""",iferror(sum(query('Saída'!$A$2:$G$505,""select E where B = '""&amp;$A35&amp;""' and A = '""&amp;G$24&amp;""'"")),0))"),"")</f>
        <v/>
      </c>
      <c r="H35" s="82" t="str">
        <f>IFERROR(__xludf.DUMMYFUNCTION("if(isblank($A35),"""",iferror(sum(query('Saída'!$A$2:$G$505,""select E where B = '""&amp;$A35&amp;""' and A = '""&amp;H$24&amp;""'"")),0))"),"")</f>
        <v/>
      </c>
      <c r="I35" s="82" t="str">
        <f>IFERROR(__xludf.DUMMYFUNCTION("if(isblank($A35),"""",iferror(sum(query('Saída'!$A$2:$G$505,""select E where B = '""&amp;$A35&amp;""' and A = '""&amp;I$24&amp;""'"")),0))"),"")</f>
        <v/>
      </c>
      <c r="J35" s="82" t="str">
        <f>IFERROR(__xludf.DUMMYFUNCTION("if(isblank($A35),"""",iferror(sum(query('Saída'!$A$2:$G$505,""select E where B = '""&amp;$A35&amp;""' and A = '""&amp;J$24&amp;""'"")),0))"),"")</f>
        <v/>
      </c>
      <c r="K35" s="82" t="str">
        <f>IFERROR(__xludf.DUMMYFUNCTION("if(isblank($A35),"""",iferror(sum(query('Saída'!$A$2:$G$505,""select E where B = '""&amp;$A35&amp;""' and A = '""&amp;K$24&amp;""'"")),0))"),"")</f>
        <v/>
      </c>
      <c r="L35" s="82" t="str">
        <f>IFERROR(__xludf.DUMMYFUNCTION("if(isblank($A35),"""",iferror(sum(query('Saída'!$A$2:$G$505,""select E where B = '""&amp;$A35&amp;""' and A = '""&amp;L$24&amp;""'"")),0))"),"")</f>
        <v/>
      </c>
      <c r="M35" s="82" t="str">
        <f>IFERROR(__xludf.DUMMYFUNCTION("if(isblank($A35),"""",iferror(sum(query('Saída'!$A$2:$G$505,""select E where B = '""&amp;$A35&amp;""' and A = '""&amp;M$24&amp;""'"")),0))"),"")</f>
        <v/>
      </c>
      <c r="N35" s="82" t="str">
        <f t="shared" si="3"/>
        <v/>
      </c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</row>
    <row r="36">
      <c r="A36" s="94"/>
      <c r="B36" s="82" t="str">
        <f>IFERROR(__xludf.DUMMYFUNCTION("if(isblank($A36),"""",iferror(sum(query('Saída'!$A$3:$G$505,""select E where B = '""&amp;$A36&amp;""' and A = '""&amp;B$24&amp;""'"")),0))"),"")</f>
        <v/>
      </c>
      <c r="C36" s="82" t="str">
        <f>IFERROR(__xludf.DUMMYFUNCTION("if(isblank($A36),"""",iferror(sum(query('Saída'!$A$2:$G$505,""select E where B = '""&amp;$A36&amp;""' and A = '""&amp;C$24&amp;""'"")),0))"),"")</f>
        <v/>
      </c>
      <c r="D36" s="82" t="str">
        <f>IFERROR(__xludf.DUMMYFUNCTION("if(isblank($A36),"""",iferror(sum(query('Saída'!$A$2:$G$505,""select E where B = '""&amp;$A36&amp;""' and A = '""&amp;D$24&amp;""'"")),0))"),"")</f>
        <v/>
      </c>
      <c r="E36" s="82" t="str">
        <f>IFERROR(__xludf.DUMMYFUNCTION("if(isblank($A36),"""",iferror(sum(query('Saída'!$A$2:$G$505,""select E where B = '""&amp;$A36&amp;""' and A = '""&amp;E$24&amp;""'"")),0))"),"")</f>
        <v/>
      </c>
      <c r="F36" s="82" t="str">
        <f>IFERROR(__xludf.DUMMYFUNCTION("if(isblank($A36),"""",iferror(sum(query('Saída'!$A$2:$G$505,""select E where B = '""&amp;$A36&amp;""' and A = '""&amp;F$24&amp;""'"")),0))"),"")</f>
        <v/>
      </c>
      <c r="G36" s="82" t="str">
        <f>IFERROR(__xludf.DUMMYFUNCTION("if(isblank($A36),"""",iferror(sum(query('Saída'!$A$2:$G$505,""select E where B = '""&amp;$A36&amp;""' and A = '""&amp;G$24&amp;""'"")),0))"),"")</f>
        <v/>
      </c>
      <c r="H36" s="82" t="str">
        <f>IFERROR(__xludf.DUMMYFUNCTION("if(isblank($A36),"""",iferror(sum(query('Saída'!$A$2:$G$505,""select E where B = '""&amp;$A36&amp;""' and A = '""&amp;H$24&amp;""'"")),0))"),"")</f>
        <v/>
      </c>
      <c r="I36" s="82" t="str">
        <f>IFERROR(__xludf.DUMMYFUNCTION("if(isblank($A36),"""",iferror(sum(query('Saída'!$A$2:$G$505,""select E where B = '""&amp;$A36&amp;""' and A = '""&amp;I$24&amp;""'"")),0))"),"")</f>
        <v/>
      </c>
      <c r="J36" s="82" t="str">
        <f>IFERROR(__xludf.DUMMYFUNCTION("if(isblank($A36),"""",iferror(sum(query('Saída'!$A$2:$G$505,""select E where B = '""&amp;$A36&amp;""' and A = '""&amp;J$24&amp;""'"")),0))"),"")</f>
        <v/>
      </c>
      <c r="K36" s="82" t="str">
        <f>IFERROR(__xludf.DUMMYFUNCTION("if(isblank($A36),"""",iferror(sum(query('Saída'!$A$2:$G$505,""select E where B = '""&amp;$A36&amp;""' and A = '""&amp;K$24&amp;""'"")),0))"),"")</f>
        <v/>
      </c>
      <c r="L36" s="82" t="str">
        <f>IFERROR(__xludf.DUMMYFUNCTION("if(isblank($A36),"""",iferror(sum(query('Saída'!$A$2:$G$505,""select E where B = '""&amp;$A36&amp;""' and A = '""&amp;L$24&amp;""'"")),0))"),"")</f>
        <v/>
      </c>
      <c r="M36" s="82" t="str">
        <f>IFERROR(__xludf.DUMMYFUNCTION("if(isblank($A36),"""",iferror(sum(query('Saída'!$A$2:$G$505,""select E where B = '""&amp;$A36&amp;""' and A = '""&amp;M$24&amp;""'"")),0))"),"")</f>
        <v/>
      </c>
      <c r="N36" s="82" t="str">
        <f t="shared" si="3"/>
        <v/>
      </c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</row>
    <row r="37">
      <c r="A37" s="94"/>
      <c r="B37" s="82" t="str">
        <f>IFERROR(__xludf.DUMMYFUNCTION("if(isblank($A37),"""",iferror(sum(query('Saída'!$A$3:$G$505,""select E where B = '""&amp;$A37&amp;""' and A = '""&amp;B$24&amp;""'"")),0))"),"")</f>
        <v/>
      </c>
      <c r="C37" s="82" t="str">
        <f>IFERROR(__xludf.DUMMYFUNCTION("if(isblank($A37),"""",iferror(sum(query('Saída'!$A$2:$G$505,""select E where B = '""&amp;$A37&amp;""' and A = '""&amp;C$24&amp;""'"")),0))"),"")</f>
        <v/>
      </c>
      <c r="D37" s="82" t="str">
        <f>IFERROR(__xludf.DUMMYFUNCTION("if(isblank($A37),"""",iferror(sum(query('Saída'!$A$2:$G$505,""select E where B = '""&amp;$A37&amp;""' and A = '""&amp;D$24&amp;""'"")),0))"),"")</f>
        <v/>
      </c>
      <c r="E37" s="82" t="str">
        <f>IFERROR(__xludf.DUMMYFUNCTION("if(isblank($A37),"""",iferror(sum(query('Saída'!$A$2:$G$505,""select E where B = '""&amp;$A37&amp;""' and A = '""&amp;E$24&amp;""'"")),0))"),"")</f>
        <v/>
      </c>
      <c r="F37" s="82" t="str">
        <f>IFERROR(__xludf.DUMMYFUNCTION("if(isblank($A37),"""",iferror(sum(query('Saída'!$A$2:$G$505,""select E where B = '""&amp;$A37&amp;""' and A = '""&amp;F$24&amp;""'"")),0))"),"")</f>
        <v/>
      </c>
      <c r="G37" s="82" t="str">
        <f>IFERROR(__xludf.DUMMYFUNCTION("if(isblank($A37),"""",iferror(sum(query('Saída'!$A$2:$G$505,""select E where B = '""&amp;$A37&amp;""' and A = '""&amp;G$24&amp;""'"")),0))"),"")</f>
        <v/>
      </c>
      <c r="H37" s="82" t="str">
        <f>IFERROR(__xludf.DUMMYFUNCTION("if(isblank($A37),"""",iferror(sum(query('Saída'!$A$2:$G$505,""select E where B = '""&amp;$A37&amp;""' and A = '""&amp;H$24&amp;""'"")),0))"),"")</f>
        <v/>
      </c>
      <c r="I37" s="82" t="str">
        <f>IFERROR(__xludf.DUMMYFUNCTION("if(isblank($A37),"""",iferror(sum(query('Saída'!$A$2:$G$505,""select E where B = '""&amp;$A37&amp;""' and A = '""&amp;I$24&amp;""'"")),0))"),"")</f>
        <v/>
      </c>
      <c r="J37" s="82" t="str">
        <f>IFERROR(__xludf.DUMMYFUNCTION("if(isblank($A37),"""",iferror(sum(query('Saída'!$A$2:$G$505,""select E where B = '""&amp;$A37&amp;""' and A = '""&amp;J$24&amp;""'"")),0))"),"")</f>
        <v/>
      </c>
      <c r="K37" s="82" t="str">
        <f>IFERROR(__xludf.DUMMYFUNCTION("if(isblank($A37),"""",iferror(sum(query('Saída'!$A$2:$G$505,""select E where B = '""&amp;$A37&amp;""' and A = '""&amp;K$24&amp;""'"")),0))"),"")</f>
        <v/>
      </c>
      <c r="L37" s="82" t="str">
        <f>IFERROR(__xludf.DUMMYFUNCTION("if(isblank($A37),"""",iferror(sum(query('Saída'!$A$2:$G$505,""select E where B = '""&amp;$A37&amp;""' and A = '""&amp;L$24&amp;""'"")),0))"),"")</f>
        <v/>
      </c>
      <c r="M37" s="82" t="str">
        <f>IFERROR(__xludf.DUMMYFUNCTION("if(isblank($A37),"""",iferror(sum(query('Saída'!$A$2:$G$505,""select E where B = '""&amp;$A37&amp;""' and A = '""&amp;M$24&amp;""'"")),0))"),"")</f>
        <v/>
      </c>
      <c r="N37" s="82" t="str">
        <f t="shared" si="3"/>
        <v/>
      </c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</row>
    <row r="38">
      <c r="A38" s="94"/>
      <c r="B38" s="82" t="str">
        <f>IFERROR(__xludf.DUMMYFUNCTION("if(isblank($A38),"""",iferror(sum(query('Saída'!$A$3:$G$505,""select E where B = '""&amp;$A38&amp;""' and A = '""&amp;B$24&amp;""'"")),0))"),"")</f>
        <v/>
      </c>
      <c r="C38" s="82" t="str">
        <f>IFERROR(__xludf.DUMMYFUNCTION("if(isblank($A38),"""",iferror(sum(query('Saída'!$A$2:$G$505,""select E where B = '""&amp;$A38&amp;""' and A = '""&amp;C$24&amp;""'"")),0))"),"")</f>
        <v/>
      </c>
      <c r="D38" s="82" t="str">
        <f>IFERROR(__xludf.DUMMYFUNCTION("if(isblank($A38),"""",iferror(sum(query('Saída'!$A$2:$G$505,""select E where B = '""&amp;$A38&amp;""' and A = '""&amp;D$24&amp;""'"")),0))"),"")</f>
        <v/>
      </c>
      <c r="E38" s="82" t="str">
        <f>IFERROR(__xludf.DUMMYFUNCTION("if(isblank($A38),"""",iferror(sum(query('Saída'!$A$2:$G$505,""select E where B = '""&amp;$A38&amp;""' and A = '""&amp;E$24&amp;""'"")),0))"),"")</f>
        <v/>
      </c>
      <c r="F38" s="82" t="str">
        <f>IFERROR(__xludf.DUMMYFUNCTION("if(isblank($A38),"""",iferror(sum(query('Saída'!$A$2:$G$505,""select E where B = '""&amp;$A38&amp;""' and A = '""&amp;F$24&amp;""'"")),0))"),"")</f>
        <v/>
      </c>
      <c r="G38" s="82" t="str">
        <f>IFERROR(__xludf.DUMMYFUNCTION("if(isblank($A38),"""",iferror(sum(query('Saída'!$A$2:$G$505,""select E where B = '""&amp;$A38&amp;""' and A = '""&amp;G$24&amp;""'"")),0))"),"")</f>
        <v/>
      </c>
      <c r="H38" s="82" t="str">
        <f>IFERROR(__xludf.DUMMYFUNCTION("if(isblank($A38),"""",iferror(sum(query('Saída'!$A$2:$G$505,""select E where B = '""&amp;$A38&amp;""' and A = '""&amp;H$24&amp;""'"")),0))"),"")</f>
        <v/>
      </c>
      <c r="I38" s="82" t="str">
        <f>IFERROR(__xludf.DUMMYFUNCTION("if(isblank($A38),"""",iferror(sum(query('Saída'!$A$2:$G$505,""select E where B = '""&amp;$A38&amp;""' and A = '""&amp;I$24&amp;""'"")),0))"),"")</f>
        <v/>
      </c>
      <c r="J38" s="82" t="str">
        <f>IFERROR(__xludf.DUMMYFUNCTION("if(isblank($A38),"""",iferror(sum(query('Saída'!$A$2:$G$505,""select E where B = '""&amp;$A38&amp;""' and A = '""&amp;J$24&amp;""'"")),0))"),"")</f>
        <v/>
      </c>
      <c r="K38" s="82" t="str">
        <f>IFERROR(__xludf.DUMMYFUNCTION("if(isblank($A38),"""",iferror(sum(query('Saída'!$A$2:$G$505,""select E where B = '""&amp;$A38&amp;""' and A = '""&amp;K$24&amp;""'"")),0))"),"")</f>
        <v/>
      </c>
      <c r="L38" s="82" t="str">
        <f>IFERROR(__xludf.DUMMYFUNCTION("if(isblank($A38),"""",iferror(sum(query('Saída'!$A$2:$G$505,""select E where B = '""&amp;$A38&amp;""' and A = '""&amp;L$24&amp;""'"")),0))"),"")</f>
        <v/>
      </c>
      <c r="M38" s="82" t="str">
        <f>IFERROR(__xludf.DUMMYFUNCTION("if(isblank($A38),"""",iferror(sum(query('Saída'!$A$2:$G$505,""select E where B = '""&amp;$A38&amp;""' and A = '""&amp;M$24&amp;""'"")),0))"),"")</f>
        <v/>
      </c>
      <c r="N38" s="82" t="str">
        <f t="shared" si="3"/>
        <v/>
      </c>
    </row>
    <row r="39">
      <c r="A39" s="93"/>
      <c r="B39" s="82" t="str">
        <f>IFERROR(__xludf.DUMMYFUNCTION("if(isblank($A39),"""",iferror(sum(query('Saída'!$A$3:$G$505,""select E where B = '""&amp;$A39&amp;""' and A = '""&amp;B$24&amp;""'"")),0))"),"")</f>
        <v/>
      </c>
      <c r="C39" s="82" t="str">
        <f>IFERROR(__xludf.DUMMYFUNCTION("if(isblank($A39),"""",iferror(sum(query('Saída'!$A$2:$G$505,""select E where B = '""&amp;$A39&amp;""' and A = '""&amp;C$24&amp;""'"")),0))"),"")</f>
        <v/>
      </c>
      <c r="D39" s="82" t="str">
        <f>IFERROR(__xludf.DUMMYFUNCTION("if(isblank($A39),"""",iferror(sum(query('Saída'!$A$2:$G$505,""select E where B = '""&amp;$A39&amp;""' and A = '""&amp;D$24&amp;""'"")),0))"),"")</f>
        <v/>
      </c>
      <c r="E39" s="82" t="str">
        <f>IFERROR(__xludf.DUMMYFUNCTION("if(isblank($A39),"""",iferror(sum(query('Saída'!$A$2:$G$505,""select E where B = '""&amp;$A39&amp;""' and A = '""&amp;E$24&amp;""'"")),0))"),"")</f>
        <v/>
      </c>
      <c r="F39" s="82" t="str">
        <f>IFERROR(__xludf.DUMMYFUNCTION("if(isblank($A39),"""",iferror(sum(query('Saída'!$A$2:$G$505,""select E where B = '""&amp;$A39&amp;""' and A = '""&amp;F$24&amp;""'"")),0))"),"")</f>
        <v/>
      </c>
      <c r="G39" s="82" t="str">
        <f>IFERROR(__xludf.DUMMYFUNCTION("if(isblank($A39),"""",iferror(sum(query('Saída'!$A$2:$G$505,""select E where B = '""&amp;$A39&amp;""' and A = '""&amp;G$24&amp;""'"")),0))"),"")</f>
        <v/>
      </c>
      <c r="H39" s="82" t="str">
        <f>IFERROR(__xludf.DUMMYFUNCTION("if(isblank($A39),"""",iferror(sum(query('Saída'!$A$2:$G$505,""select E where B = '""&amp;$A39&amp;""' and A = '""&amp;H$24&amp;""'"")),0))"),"")</f>
        <v/>
      </c>
      <c r="I39" s="82" t="str">
        <f>IFERROR(__xludf.DUMMYFUNCTION("if(isblank($A39),"""",iferror(sum(query('Saída'!$A$2:$G$505,""select E where B = '""&amp;$A39&amp;""' and A = '""&amp;I$24&amp;""'"")),0))"),"")</f>
        <v/>
      </c>
      <c r="J39" s="82" t="str">
        <f>IFERROR(__xludf.DUMMYFUNCTION("if(isblank($A39),"""",iferror(sum(query('Saída'!$A$2:$G$505,""select E where B = '""&amp;$A39&amp;""' and A = '""&amp;J$24&amp;""'"")),0))"),"")</f>
        <v/>
      </c>
      <c r="K39" s="82" t="str">
        <f>IFERROR(__xludf.DUMMYFUNCTION("if(isblank($A39),"""",iferror(sum(query('Saída'!$A$2:$G$505,""select E where B = '""&amp;$A39&amp;""' and A = '""&amp;K$24&amp;""'"")),0))"),"")</f>
        <v/>
      </c>
      <c r="L39" s="82" t="str">
        <f>IFERROR(__xludf.DUMMYFUNCTION("if(isblank($A39),"""",iferror(sum(query('Saída'!$A$2:$G$505,""select E where B = '""&amp;$A39&amp;""' and A = '""&amp;L$24&amp;""'"")),0))"),"")</f>
        <v/>
      </c>
      <c r="M39" s="82" t="str">
        <f>IFERROR(__xludf.DUMMYFUNCTION("if(isblank($A39),"""",iferror(sum(query('Saída'!$A$2:$G$505,""select E where B = '""&amp;$A39&amp;""' and A = '""&amp;M$24&amp;""'"")),0))"),"")</f>
        <v/>
      </c>
      <c r="N39" s="82" t="str">
        <f t="shared" si="3"/>
        <v/>
      </c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</row>
    <row r="40">
      <c r="A40" s="93"/>
      <c r="B40" s="82" t="str">
        <f>IFERROR(__xludf.DUMMYFUNCTION("if(isblank($A40),"""",iferror(sum(query('Saída'!$A$3:$G$505,""select E where B = '""&amp;$A40&amp;""' and A = '""&amp;B$24&amp;""'"")),0))"),"")</f>
        <v/>
      </c>
      <c r="C40" s="82" t="str">
        <f>IFERROR(__xludf.DUMMYFUNCTION("if(isblank($A40),"""",iferror(sum(query('Saída'!$A$2:$G$505,""select E where B = '""&amp;$A40&amp;""' and A = '""&amp;C$24&amp;""'"")),0))"),"")</f>
        <v/>
      </c>
      <c r="D40" s="82" t="str">
        <f>IFERROR(__xludf.DUMMYFUNCTION("if(isblank($A40),"""",iferror(sum(query('Saída'!$A$2:$G$505,""select E where B = '""&amp;$A40&amp;""' and A = '""&amp;D$24&amp;""'"")),0))"),"")</f>
        <v/>
      </c>
      <c r="E40" s="82" t="str">
        <f>IFERROR(__xludf.DUMMYFUNCTION("if(isblank($A40),"""",iferror(sum(query('Saída'!$A$2:$G$505,""select E where B = '""&amp;$A40&amp;""' and A = '""&amp;E$24&amp;""'"")),0))"),"")</f>
        <v/>
      </c>
      <c r="F40" s="82" t="str">
        <f>IFERROR(__xludf.DUMMYFUNCTION("if(isblank($A40),"""",iferror(sum(query('Saída'!$A$2:$G$505,""select E where B = '""&amp;$A40&amp;""' and A = '""&amp;F$24&amp;""'"")),0))"),"")</f>
        <v/>
      </c>
      <c r="G40" s="82" t="str">
        <f>IFERROR(__xludf.DUMMYFUNCTION("if(isblank($A40),"""",iferror(sum(query('Saída'!$A$2:$G$505,""select E where B = '""&amp;$A40&amp;""' and A = '""&amp;G$24&amp;""'"")),0))"),"")</f>
        <v/>
      </c>
      <c r="H40" s="82" t="str">
        <f>IFERROR(__xludf.DUMMYFUNCTION("if(isblank($A40),"""",iferror(sum(query('Saída'!$A$2:$G$505,""select E where B = '""&amp;$A40&amp;""' and A = '""&amp;H$24&amp;""'"")),0))"),"")</f>
        <v/>
      </c>
      <c r="I40" s="82" t="str">
        <f>IFERROR(__xludf.DUMMYFUNCTION("if(isblank($A40),"""",iferror(sum(query('Saída'!$A$2:$G$505,""select E where B = '""&amp;$A40&amp;""' and A = '""&amp;I$24&amp;""'"")),0))"),"")</f>
        <v/>
      </c>
      <c r="J40" s="82" t="str">
        <f>IFERROR(__xludf.DUMMYFUNCTION("if(isblank($A40),"""",iferror(sum(query('Saída'!$A$2:$G$505,""select E where B = '""&amp;$A40&amp;""' and A = '""&amp;J$24&amp;""'"")),0))"),"")</f>
        <v/>
      </c>
      <c r="K40" s="82" t="str">
        <f>IFERROR(__xludf.DUMMYFUNCTION("if(isblank($A40),"""",iferror(sum(query('Saída'!$A$2:$G$505,""select E where B = '""&amp;$A40&amp;""' and A = '""&amp;K$24&amp;""'"")),0))"),"")</f>
        <v/>
      </c>
      <c r="L40" s="82" t="str">
        <f>IFERROR(__xludf.DUMMYFUNCTION("if(isblank($A40),"""",iferror(sum(query('Saída'!$A$2:$G$505,""select E where B = '""&amp;$A40&amp;""' and A = '""&amp;L$24&amp;""'"")),0))"),"")</f>
        <v/>
      </c>
      <c r="M40" s="82" t="str">
        <f>IFERROR(__xludf.DUMMYFUNCTION("if(isblank($A40),"""",iferror(sum(query('Saída'!$A$2:$G$505,""select E where B = '""&amp;$A40&amp;""' and A = '""&amp;M$24&amp;""'"")),0))"),"")</f>
        <v/>
      </c>
      <c r="N40" s="82" t="str">
        <f t="shared" si="3"/>
        <v/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</row>
    <row r="41">
      <c r="A41" s="95"/>
      <c r="B41" s="82" t="str">
        <f>IFERROR(__xludf.DUMMYFUNCTION("if(isblank($A41),"""",iferror(sum(query('Saída'!$A$3:$G$505,""select E where B = '""&amp;$A41&amp;""' and A = '""&amp;B$24&amp;""'"")),0))"),"")</f>
        <v/>
      </c>
      <c r="C41" s="82" t="str">
        <f>IFERROR(__xludf.DUMMYFUNCTION("if(isblank($A41),"""",iferror(sum(query('Saída'!$A$2:$G$505,""select E where B = '""&amp;$A41&amp;""' and A = '""&amp;C$24&amp;""'"")),0))"),"")</f>
        <v/>
      </c>
      <c r="D41" s="82" t="str">
        <f>IFERROR(__xludf.DUMMYFUNCTION("if(isblank($A41),"""",iferror(sum(query('Saída'!$A$2:$G$505,""select E where B = '""&amp;$A41&amp;""' and A = '""&amp;D$24&amp;""'"")),0))"),"")</f>
        <v/>
      </c>
      <c r="E41" s="82" t="str">
        <f>IFERROR(__xludf.DUMMYFUNCTION("if(isblank($A41),"""",iferror(sum(query('Saída'!$A$2:$G$505,""select E where B = '""&amp;$A41&amp;""' and A = '""&amp;E$24&amp;""'"")),0))"),"")</f>
        <v/>
      </c>
      <c r="F41" s="82" t="str">
        <f>IFERROR(__xludf.DUMMYFUNCTION("if(isblank($A41),"""",iferror(sum(query('Saída'!$A$2:$G$505,""select E where B = '""&amp;$A41&amp;""' and A = '""&amp;F$24&amp;""'"")),0))"),"")</f>
        <v/>
      </c>
      <c r="G41" s="82" t="str">
        <f>IFERROR(__xludf.DUMMYFUNCTION("if(isblank($A41),"""",iferror(sum(query('Saída'!$A$2:$G$505,""select E where B = '""&amp;$A41&amp;""' and A = '""&amp;G$24&amp;""'"")),0))"),"")</f>
        <v/>
      </c>
      <c r="H41" s="82" t="str">
        <f>IFERROR(__xludf.DUMMYFUNCTION("if(isblank($A41),"""",iferror(sum(query('Saída'!$A$2:$G$505,""select E where B = '""&amp;$A41&amp;""' and A = '""&amp;H$24&amp;""'"")),0))"),"")</f>
        <v/>
      </c>
      <c r="I41" s="82" t="str">
        <f>IFERROR(__xludf.DUMMYFUNCTION("if(isblank($A41),"""",iferror(sum(query('Saída'!$A$2:$G$505,""select E where B = '""&amp;$A41&amp;""' and A = '""&amp;I$24&amp;""'"")),0))"),"")</f>
        <v/>
      </c>
      <c r="J41" s="82" t="str">
        <f>IFERROR(__xludf.DUMMYFUNCTION("if(isblank($A41),"""",iferror(sum(query('Saída'!$A$2:$G$505,""select E where B = '""&amp;$A41&amp;""' and A = '""&amp;J$24&amp;""'"")),0))"),"")</f>
        <v/>
      </c>
      <c r="K41" s="82" t="str">
        <f>IFERROR(__xludf.DUMMYFUNCTION("if(isblank($A41),"""",iferror(sum(query('Saída'!$A$2:$G$505,""select E where B = '""&amp;$A41&amp;""' and A = '""&amp;K$24&amp;""'"")),0))"),"")</f>
        <v/>
      </c>
      <c r="L41" s="82" t="str">
        <f>IFERROR(__xludf.DUMMYFUNCTION("if(isblank($A41),"""",iferror(sum(query('Saída'!$A$2:$G$505,""select E where B = '""&amp;$A41&amp;""' and A = '""&amp;L$24&amp;""'"")),0))"),"")</f>
        <v/>
      </c>
      <c r="M41" s="82" t="str">
        <f>IFERROR(__xludf.DUMMYFUNCTION("if(isblank($A41),"""",iferror(sum(query('Saída'!$A$2:$G$505,""select E where B = '""&amp;$A41&amp;""' and A = '""&amp;M$24&amp;""'"")),0))"),"")</f>
        <v/>
      </c>
      <c r="N41" s="82" t="str">
        <f t="shared" si="3"/>
        <v/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</row>
    <row r="42">
      <c r="A42" s="96" t="s">
        <v>59</v>
      </c>
      <c r="B42" s="97">
        <f t="shared" ref="B42:N42" si="4">sum(B25:B41)</f>
        <v>1194.14</v>
      </c>
      <c r="C42" s="97">
        <f t="shared" si="4"/>
        <v>1608.56</v>
      </c>
      <c r="D42" s="97">
        <f t="shared" si="4"/>
        <v>1468.42</v>
      </c>
      <c r="E42" s="97">
        <f t="shared" si="4"/>
        <v>947.5</v>
      </c>
      <c r="F42" s="97">
        <f t="shared" si="4"/>
        <v>800.15</v>
      </c>
      <c r="G42" s="97">
        <f t="shared" si="4"/>
        <v>277.29</v>
      </c>
      <c r="H42" s="97">
        <f t="shared" si="4"/>
        <v>1207.98</v>
      </c>
      <c r="I42" s="97">
        <f t="shared" si="4"/>
        <v>453.97</v>
      </c>
      <c r="J42" s="97">
        <f t="shared" si="4"/>
        <v>203.16</v>
      </c>
      <c r="K42" s="97">
        <f t="shared" si="4"/>
        <v>1227.01</v>
      </c>
      <c r="L42" s="97">
        <f t="shared" si="4"/>
        <v>3141.56</v>
      </c>
      <c r="M42" s="97">
        <f t="shared" si="4"/>
        <v>1484.53</v>
      </c>
      <c r="N42" s="97">
        <f t="shared" si="4"/>
        <v>14014.27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</row>
    <row r="43">
      <c r="A43" s="88"/>
      <c r="B43" s="98"/>
      <c r="C43" s="99"/>
      <c r="D43" s="99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</row>
    <row r="44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0"/>
      <c r="Q44" s="80"/>
      <c r="R44" s="80"/>
      <c r="S44" s="80"/>
      <c r="T44" s="80"/>
      <c r="U44" s="80"/>
      <c r="V44" s="80"/>
      <c r="W44" s="80"/>
      <c r="X44" s="80"/>
      <c r="Y44" s="80"/>
    </row>
    <row r="45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0"/>
      <c r="Q45" s="80"/>
      <c r="R45" s="80"/>
      <c r="S45" s="80"/>
      <c r="T45" s="80"/>
      <c r="U45" s="80"/>
      <c r="V45" s="80"/>
      <c r="W45" s="80"/>
      <c r="X45" s="80"/>
      <c r="Y45" s="80"/>
    </row>
    <row r="46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0"/>
      <c r="Q46" s="80"/>
      <c r="R46" s="80"/>
      <c r="S46" s="80"/>
      <c r="T46" s="80"/>
      <c r="U46" s="80"/>
      <c r="V46" s="80"/>
      <c r="W46" s="80"/>
      <c r="X46" s="80"/>
      <c r="Y46" s="80"/>
    </row>
    <row r="47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</row>
    <row r="48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76"/>
      <c r="Q48" s="76"/>
      <c r="R48" s="76"/>
      <c r="S48" s="76"/>
      <c r="T48" s="76"/>
      <c r="U48" s="76"/>
      <c r="V48" s="76"/>
      <c r="W48" s="76"/>
      <c r="X48" s="76"/>
      <c r="Y48" s="76"/>
    </row>
    <row r="49">
      <c r="A49" s="88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</row>
    <row r="50">
      <c r="A50" s="88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</row>
    <row r="51">
      <c r="A51" s="88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</row>
    <row r="52">
      <c r="A52" s="88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</row>
    <row r="53">
      <c r="A53" s="88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</row>
    <row r="54">
      <c r="A54" s="76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</row>
    <row r="55">
      <c r="A55" s="76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</row>
    <row r="56">
      <c r="A56" s="76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</row>
    <row r="57">
      <c r="A57" s="76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</row>
    <row r="58">
      <c r="A58" s="76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</row>
    <row r="59">
      <c r="A59" s="76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</row>
    <row r="60">
      <c r="A60" s="88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</row>
    <row r="61">
      <c r="A61" s="88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</row>
    <row r="62">
      <c r="A62" s="88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</row>
    <row r="63">
      <c r="A63" s="88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</row>
    <row r="64">
      <c r="A64" s="88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</row>
    <row r="65">
      <c r="A65" s="88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</row>
    <row r="66">
      <c r="A66" s="88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</row>
    <row r="67">
      <c r="A67" s="88"/>
      <c r="B67" s="76"/>
      <c r="C67" s="76"/>
      <c r="D67" s="84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</row>
    <row r="68">
      <c r="A68" s="88"/>
    </row>
    <row r="69">
      <c r="A69" s="88"/>
      <c r="B69" s="76"/>
      <c r="C69" s="76"/>
      <c r="D69" s="76"/>
      <c r="E69" s="84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</row>
    <row r="70">
      <c r="A70" s="88"/>
      <c r="B70" s="76"/>
      <c r="C70" s="76"/>
      <c r="D70" s="84"/>
      <c r="E70" s="89"/>
      <c r="F70" s="89"/>
      <c r="G70" s="89"/>
      <c r="H70" s="89"/>
      <c r="I70" s="89"/>
      <c r="J70" s="89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</row>
    <row r="71">
      <c r="A71" s="88"/>
      <c r="B71" s="98"/>
      <c r="C71" s="99"/>
      <c r="D71" s="101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</row>
    <row r="72">
      <c r="A72" s="88"/>
      <c r="B72" s="98"/>
      <c r="C72" s="99"/>
      <c r="D72" s="99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</row>
    <row r="73">
      <c r="A73" s="88"/>
      <c r="B73" s="98"/>
      <c r="C73" s="99"/>
      <c r="D73" s="99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</row>
    <row r="74">
      <c r="A74" s="88"/>
      <c r="B74" s="98"/>
      <c r="C74" s="99"/>
      <c r="D74" s="99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</row>
    <row r="75">
      <c r="A75" s="88"/>
      <c r="B75" s="98"/>
      <c r="C75" s="99"/>
      <c r="D75" s="99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</row>
    <row r="76">
      <c r="A76" s="88"/>
      <c r="B76" s="76"/>
      <c r="C76" s="76"/>
      <c r="D76" s="84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</row>
    <row r="77">
      <c r="A77" s="88"/>
    </row>
    <row r="78">
      <c r="A78" s="88"/>
      <c r="B78" s="76"/>
      <c r="C78" s="76"/>
      <c r="D78" s="76"/>
      <c r="E78" s="84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</row>
    <row r="79">
      <c r="A79" s="88"/>
      <c r="B79" s="76"/>
      <c r="C79" s="76"/>
      <c r="D79" s="84"/>
      <c r="E79" s="89"/>
      <c r="F79" s="89"/>
      <c r="G79" s="89"/>
      <c r="H79" s="89"/>
      <c r="I79" s="89"/>
      <c r="J79" s="89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</row>
    <row r="80">
      <c r="A80" s="88"/>
      <c r="B80" s="98"/>
      <c r="C80" s="99"/>
      <c r="D80" s="101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</row>
    <row r="81">
      <c r="A81" s="88"/>
      <c r="B81" s="98"/>
      <c r="C81" s="99"/>
      <c r="D81" s="99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</row>
    <row r="82">
      <c r="A82" s="88"/>
      <c r="B82" s="98"/>
      <c r="C82" s="99"/>
      <c r="D82" s="99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</row>
    <row r="83">
      <c r="A83" s="88"/>
      <c r="B83" s="98"/>
      <c r="C83" s="99"/>
      <c r="D83" s="99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</row>
    <row r="84">
      <c r="A84" s="88"/>
      <c r="B84" s="98"/>
      <c r="C84" s="99"/>
      <c r="D84" s="99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</row>
    <row r="85">
      <c r="A85" s="88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</row>
    <row r="86">
      <c r="A86" s="88"/>
      <c r="B86" s="76"/>
      <c r="C86" s="76"/>
      <c r="D86" s="76"/>
      <c r="E86" s="84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</row>
    <row r="87">
      <c r="A87" s="88"/>
      <c r="B87" s="76"/>
      <c r="C87" s="76"/>
      <c r="D87" s="84"/>
      <c r="E87" s="89"/>
      <c r="F87" s="89"/>
      <c r="G87" s="89"/>
      <c r="H87" s="89"/>
      <c r="I87" s="89"/>
      <c r="J87" s="89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</row>
    <row r="88">
      <c r="A88" s="88"/>
      <c r="B88" s="98"/>
      <c r="C88" s="99"/>
      <c r="D88" s="101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</row>
    <row r="89">
      <c r="A89" s="88"/>
      <c r="B89" s="98"/>
      <c r="C89" s="99"/>
      <c r="D89" s="99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</row>
    <row r="90">
      <c r="A90" s="88"/>
      <c r="B90" s="98"/>
      <c r="C90" s="99"/>
      <c r="D90" s="99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</row>
    <row r="91">
      <c r="A91" s="88"/>
      <c r="B91" s="98"/>
      <c r="C91" s="99"/>
      <c r="D91" s="99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</row>
    <row r="92">
      <c r="A92" s="88"/>
      <c r="B92" s="98"/>
      <c r="C92" s="99"/>
      <c r="D92" s="99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</row>
    <row r="93">
      <c r="A93" s="88"/>
      <c r="B93" s="76"/>
      <c r="C93" s="76"/>
      <c r="D93" s="84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</row>
    <row r="94">
      <c r="A94" s="88"/>
    </row>
    <row r="95">
      <c r="A95" s="88"/>
      <c r="B95" s="76"/>
      <c r="C95" s="76"/>
      <c r="D95" s="76"/>
      <c r="E95" s="84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</row>
    <row r="96">
      <c r="A96" s="88"/>
      <c r="B96" s="76"/>
      <c r="C96" s="76"/>
      <c r="D96" s="84"/>
      <c r="E96" s="89"/>
      <c r="F96" s="89"/>
      <c r="G96" s="89"/>
      <c r="H96" s="89"/>
      <c r="I96" s="89"/>
      <c r="J96" s="89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</row>
    <row r="97">
      <c r="A97" s="88"/>
      <c r="B97" s="98"/>
      <c r="C97" s="99"/>
      <c r="D97" s="101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</row>
    <row r="98">
      <c r="A98" s="88"/>
      <c r="B98" s="98"/>
      <c r="C98" s="99"/>
      <c r="D98" s="99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</row>
    <row r="99">
      <c r="A99" s="88"/>
      <c r="B99" s="98"/>
      <c r="C99" s="99"/>
      <c r="D99" s="99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</row>
    <row r="100">
      <c r="A100" s="88"/>
      <c r="B100" s="98"/>
      <c r="C100" s="99"/>
      <c r="D100" s="99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</row>
    <row r="101">
      <c r="A101" s="88"/>
      <c r="B101" s="98"/>
      <c r="C101" s="99"/>
      <c r="D101" s="99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</row>
    <row r="102">
      <c r="A102" s="88"/>
      <c r="B102" s="76"/>
      <c r="C102" s="76"/>
      <c r="D102" s="84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</row>
    <row r="103">
      <c r="A103" s="88"/>
    </row>
    <row r="104">
      <c r="A104" s="88"/>
      <c r="B104" s="76"/>
      <c r="C104" s="76"/>
      <c r="D104" s="76"/>
      <c r="E104" s="84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</row>
    <row r="105">
      <c r="A105" s="88"/>
      <c r="B105" s="76"/>
      <c r="C105" s="76"/>
      <c r="D105" s="84"/>
      <c r="E105" s="89"/>
      <c r="F105" s="89"/>
      <c r="G105" s="89"/>
      <c r="H105" s="89"/>
      <c r="I105" s="89"/>
      <c r="J105" s="89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</row>
    <row r="106">
      <c r="A106" s="88"/>
      <c r="B106" s="98"/>
      <c r="C106" s="99"/>
      <c r="D106" s="101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</row>
    <row r="107">
      <c r="A107" s="88"/>
      <c r="B107" s="98"/>
      <c r="C107" s="99"/>
      <c r="D107" s="99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</row>
    <row r="108">
      <c r="A108" s="88"/>
      <c r="B108" s="98"/>
      <c r="C108" s="99"/>
      <c r="D108" s="99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</row>
    <row r="109">
      <c r="A109" s="88"/>
      <c r="B109" s="98"/>
      <c r="C109" s="99"/>
      <c r="D109" s="99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</row>
    <row r="110">
      <c r="A110" s="88"/>
      <c r="B110" s="98"/>
      <c r="C110" s="99"/>
      <c r="D110" s="99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</row>
    <row r="111">
      <c r="A111" s="76"/>
      <c r="B111" s="76"/>
      <c r="C111" s="76"/>
      <c r="D111" s="84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</row>
    <row r="113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</sheetData>
  <mergeCells count="5">
    <mergeCell ref="A1:N1"/>
    <mergeCell ref="A2:N2"/>
    <mergeCell ref="A23:N23"/>
    <mergeCell ref="A164:A168"/>
    <mergeCell ref="A171:A172"/>
  </mergeCell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2" t="s">
        <v>3</v>
      </c>
      <c r="B1" s="103"/>
      <c r="C1" s="104"/>
      <c r="D1" s="105"/>
      <c r="H1" s="106"/>
      <c r="I1" s="107"/>
      <c r="J1" s="107"/>
      <c r="N1" s="106"/>
      <c r="O1" s="106"/>
      <c r="P1" s="106"/>
      <c r="Q1" s="102"/>
      <c r="R1" s="106"/>
      <c r="S1" s="106"/>
      <c r="T1" s="106"/>
      <c r="U1" s="106"/>
      <c r="V1" s="106"/>
      <c r="W1" s="106"/>
      <c r="X1" s="106"/>
      <c r="Y1" s="106"/>
      <c r="Z1" s="106"/>
    </row>
    <row r="2">
      <c r="A2" s="106"/>
      <c r="B2" s="108"/>
      <c r="C2" s="109"/>
      <c r="D2" s="110"/>
      <c r="H2" s="106"/>
      <c r="O2" s="111"/>
      <c r="P2" s="106"/>
      <c r="Q2" s="106"/>
      <c r="R2" s="106"/>
      <c r="S2" s="106"/>
      <c r="T2" s="106"/>
      <c r="U2" s="106"/>
      <c r="V2" s="111"/>
      <c r="W2" s="106"/>
      <c r="X2" s="106"/>
      <c r="Y2" s="106"/>
      <c r="Z2" s="106"/>
    </row>
    <row r="3">
      <c r="A3" s="102" t="s">
        <v>61</v>
      </c>
      <c r="B3" s="112"/>
      <c r="C3" s="113"/>
      <c r="D3" s="114"/>
      <c r="H3" s="106"/>
      <c r="O3" s="111"/>
      <c r="P3" s="115"/>
      <c r="Q3" s="115"/>
      <c r="R3" s="111"/>
      <c r="S3" s="111"/>
      <c r="T3" s="111"/>
      <c r="U3" s="106"/>
      <c r="V3" s="111"/>
      <c r="W3" s="106"/>
      <c r="X3" s="106"/>
      <c r="Y3" s="106"/>
      <c r="Z3" s="106"/>
    </row>
    <row r="4">
      <c r="A4" s="102" t="s">
        <v>62</v>
      </c>
      <c r="B4" s="112"/>
      <c r="C4" s="113"/>
      <c r="D4" s="114"/>
      <c r="H4" s="106"/>
      <c r="O4" s="111"/>
      <c r="P4" s="111"/>
      <c r="Q4" s="111"/>
      <c r="R4" s="111"/>
      <c r="S4" s="111"/>
      <c r="T4" s="111"/>
      <c r="U4" s="106"/>
      <c r="V4" s="111"/>
      <c r="W4" s="106"/>
      <c r="X4" s="106"/>
      <c r="Y4" s="106"/>
      <c r="Z4" s="106"/>
    </row>
    <row r="5">
      <c r="A5" s="116" t="s">
        <v>63</v>
      </c>
      <c r="B5" s="116" t="s">
        <v>64</v>
      </c>
      <c r="C5" s="116"/>
      <c r="O5" s="111"/>
      <c r="P5" s="111"/>
      <c r="Q5" s="111"/>
      <c r="R5" s="111"/>
      <c r="S5" s="111"/>
      <c r="T5" s="111"/>
      <c r="U5" s="106"/>
      <c r="V5" s="111"/>
      <c r="W5" s="106"/>
      <c r="X5" s="106"/>
      <c r="Y5" s="106"/>
      <c r="Z5" s="106"/>
    </row>
    <row r="6">
      <c r="A6" s="116" t="s">
        <v>65</v>
      </c>
      <c r="B6" s="116" t="s">
        <v>66</v>
      </c>
      <c r="C6" s="116"/>
      <c r="O6" s="111"/>
      <c r="P6" s="111"/>
      <c r="Q6" s="111"/>
      <c r="R6" s="111"/>
      <c r="S6" s="111"/>
      <c r="T6" s="111"/>
      <c r="U6" s="106"/>
      <c r="V6" s="111"/>
      <c r="W6" s="106"/>
      <c r="X6" s="106"/>
      <c r="Y6" s="106"/>
      <c r="Z6" s="106"/>
    </row>
    <row r="7">
      <c r="A7" s="31" t="s">
        <v>67</v>
      </c>
      <c r="B7" s="31" t="s">
        <v>68</v>
      </c>
      <c r="C7" s="116"/>
      <c r="O7" s="111"/>
      <c r="P7" s="111"/>
      <c r="Q7" s="111"/>
      <c r="R7" s="111"/>
      <c r="S7" s="111"/>
      <c r="T7" s="111"/>
      <c r="U7" s="106"/>
      <c r="V7" s="111"/>
      <c r="W7" s="106"/>
      <c r="X7" s="106"/>
      <c r="Y7" s="106"/>
      <c r="Z7" s="106"/>
    </row>
    <row r="8">
      <c r="B8" s="116"/>
      <c r="C8" s="116"/>
      <c r="O8" s="111"/>
      <c r="P8" s="111"/>
      <c r="Q8" s="111"/>
      <c r="R8" s="111"/>
      <c r="S8" s="111"/>
      <c r="T8" s="111"/>
      <c r="U8" s="106"/>
      <c r="V8" s="111"/>
      <c r="W8" s="106"/>
      <c r="X8" s="106"/>
      <c r="Y8" s="106"/>
      <c r="Z8" s="106"/>
    </row>
    <row r="9">
      <c r="B9" s="116"/>
      <c r="C9" s="116"/>
      <c r="O9" s="111"/>
      <c r="P9" s="111"/>
      <c r="Q9" s="111"/>
      <c r="R9" s="111"/>
      <c r="S9" s="111"/>
      <c r="T9" s="111"/>
      <c r="U9" s="106"/>
      <c r="V9" s="111"/>
      <c r="W9" s="106"/>
      <c r="X9" s="106"/>
      <c r="Y9" s="106"/>
      <c r="Z9" s="106"/>
    </row>
    <row r="10">
      <c r="B10" s="116"/>
      <c r="C10" s="116"/>
      <c r="O10" s="114"/>
      <c r="P10" s="114"/>
      <c r="Q10" s="114"/>
      <c r="R10" s="114"/>
      <c r="S10" s="114"/>
      <c r="T10" s="114"/>
      <c r="U10" s="106"/>
      <c r="V10" s="114"/>
      <c r="W10" s="106"/>
      <c r="X10" s="106"/>
      <c r="Y10" s="106"/>
      <c r="Z10" s="106"/>
    </row>
    <row r="11">
      <c r="A11" s="117" t="s">
        <v>69</v>
      </c>
      <c r="B11" s="12"/>
      <c r="C11" s="12"/>
      <c r="D11" s="12"/>
      <c r="E11" s="12"/>
      <c r="F11" s="12"/>
      <c r="G11" s="12"/>
      <c r="H11" s="12"/>
      <c r="I11" s="12"/>
      <c r="K11" s="118" t="s">
        <v>70</v>
      </c>
      <c r="O11" s="114"/>
      <c r="P11" s="114"/>
      <c r="Q11" s="114"/>
      <c r="R11" s="114"/>
      <c r="S11" s="114"/>
      <c r="T11" s="114"/>
      <c r="U11" s="106"/>
      <c r="V11" s="114"/>
      <c r="W11" s="106"/>
      <c r="X11" s="106"/>
      <c r="Y11" s="106"/>
      <c r="Z11" s="106"/>
    </row>
    <row r="12">
      <c r="A12" s="119" t="s">
        <v>71</v>
      </c>
      <c r="B12" s="120" t="s">
        <v>10</v>
      </c>
      <c r="C12" s="121" t="s">
        <v>11</v>
      </c>
      <c r="D12" s="122" t="s">
        <v>72</v>
      </c>
      <c r="E12" s="120" t="s">
        <v>10</v>
      </c>
      <c r="F12" s="121" t="s">
        <v>11</v>
      </c>
      <c r="G12" s="122" t="s">
        <v>73</v>
      </c>
      <c r="H12" s="120" t="s">
        <v>10</v>
      </c>
      <c r="I12" s="121" t="s">
        <v>11</v>
      </c>
      <c r="J12" s="114"/>
      <c r="K12" s="123" t="s">
        <v>74</v>
      </c>
      <c r="O12" s="114"/>
      <c r="P12" s="114"/>
      <c r="Q12" s="114"/>
      <c r="R12" s="114"/>
      <c r="S12" s="114"/>
      <c r="T12" s="114"/>
      <c r="U12" s="106"/>
      <c r="V12" s="114"/>
      <c r="W12" s="106"/>
      <c r="X12" s="106"/>
      <c r="Y12" s="106"/>
      <c r="Z12" s="106"/>
    </row>
    <row r="13">
      <c r="A13" s="124"/>
      <c r="B13" s="125" t="s">
        <v>75</v>
      </c>
      <c r="C13" s="126" t="s">
        <v>76</v>
      </c>
      <c r="D13" s="124"/>
      <c r="E13" s="125" t="s">
        <v>77</v>
      </c>
      <c r="F13" s="127" t="s">
        <v>78</v>
      </c>
      <c r="G13" s="124"/>
      <c r="H13" s="125" t="s">
        <v>79</v>
      </c>
      <c r="I13" s="126" t="s">
        <v>80</v>
      </c>
      <c r="J13" s="114"/>
      <c r="K13" s="118" t="s">
        <v>81</v>
      </c>
      <c r="O13" s="114"/>
      <c r="P13" s="114"/>
      <c r="Q13" s="114"/>
      <c r="R13" s="114"/>
      <c r="S13" s="114"/>
      <c r="T13" s="114"/>
      <c r="U13" s="106"/>
      <c r="V13" s="114"/>
      <c r="W13" s="106"/>
      <c r="X13" s="106"/>
      <c r="Y13" s="106"/>
      <c r="Z13" s="106"/>
    </row>
    <row r="14">
      <c r="A14" s="124"/>
      <c r="B14" s="125" t="s">
        <v>82</v>
      </c>
      <c r="C14" s="126" t="s">
        <v>83</v>
      </c>
      <c r="D14" s="124"/>
      <c r="E14" s="125" t="s">
        <v>84</v>
      </c>
      <c r="F14" s="127" t="s">
        <v>85</v>
      </c>
      <c r="G14" s="124"/>
      <c r="H14" s="125" t="s">
        <v>86</v>
      </c>
      <c r="I14" s="126" t="s">
        <v>87</v>
      </c>
      <c r="J14" s="114"/>
      <c r="K14" s="118" t="s">
        <v>88</v>
      </c>
      <c r="L14" s="106"/>
      <c r="O14" s="111"/>
      <c r="P14" s="106"/>
      <c r="Q14" s="106"/>
      <c r="R14" s="106"/>
      <c r="S14" s="106"/>
      <c r="T14" s="106"/>
      <c r="U14" s="106"/>
      <c r="V14" s="111"/>
      <c r="W14" s="106"/>
      <c r="X14" s="106"/>
      <c r="Y14" s="106"/>
      <c r="Z14" s="106"/>
    </row>
    <row r="15">
      <c r="A15" s="124"/>
      <c r="B15" s="125" t="s">
        <v>89</v>
      </c>
      <c r="C15" s="126" t="s">
        <v>90</v>
      </c>
      <c r="D15" s="124"/>
      <c r="E15" s="125" t="s">
        <v>91</v>
      </c>
      <c r="F15" s="127" t="s">
        <v>92</v>
      </c>
      <c r="G15" s="124"/>
      <c r="H15" s="128"/>
      <c r="I15" s="128"/>
      <c r="J15" s="106"/>
      <c r="K15" s="118" t="s">
        <v>23</v>
      </c>
      <c r="L15" s="106"/>
      <c r="O15" s="102"/>
      <c r="P15" s="106"/>
      <c r="Q15" s="106"/>
      <c r="R15" s="106"/>
      <c r="S15" s="106"/>
      <c r="T15" s="106"/>
      <c r="U15" s="106"/>
      <c r="V15" s="102"/>
      <c r="W15" s="106"/>
      <c r="X15" s="106"/>
      <c r="Y15" s="106"/>
      <c r="Z15" s="106"/>
    </row>
    <row r="16">
      <c r="A16" s="124"/>
      <c r="B16" s="125" t="s">
        <v>93</v>
      </c>
      <c r="C16" s="126" t="s">
        <v>94</v>
      </c>
      <c r="D16" s="124"/>
      <c r="E16" s="125" t="s">
        <v>95</v>
      </c>
      <c r="F16" s="127" t="s">
        <v>96</v>
      </c>
      <c r="G16" s="124"/>
      <c r="H16" s="129"/>
      <c r="I16" s="130"/>
      <c r="J16" s="106"/>
      <c r="K16" s="118" t="s">
        <v>29</v>
      </c>
      <c r="L16" s="106"/>
      <c r="O16" s="102"/>
      <c r="P16" s="106"/>
      <c r="Q16" s="106"/>
      <c r="R16" s="106"/>
      <c r="S16" s="106"/>
      <c r="T16" s="106"/>
      <c r="U16" s="106"/>
      <c r="V16" s="102"/>
      <c r="W16" s="106"/>
      <c r="X16" s="106"/>
      <c r="Y16" s="106"/>
      <c r="Z16" s="106"/>
    </row>
    <row r="17">
      <c r="A17" s="124"/>
      <c r="B17" s="125" t="s">
        <v>97</v>
      </c>
      <c r="C17" s="126" t="s">
        <v>98</v>
      </c>
      <c r="D17" s="124"/>
      <c r="E17" s="125" t="s">
        <v>99</v>
      </c>
      <c r="F17" s="127" t="s">
        <v>100</v>
      </c>
      <c r="G17" s="124"/>
      <c r="H17" s="129"/>
      <c r="I17" s="130"/>
      <c r="J17" s="106"/>
      <c r="K17" s="123" t="s">
        <v>18</v>
      </c>
      <c r="L17" s="106"/>
      <c r="O17" s="102"/>
      <c r="P17" s="106"/>
      <c r="Q17" s="106"/>
      <c r="R17" s="106"/>
      <c r="S17" s="106"/>
      <c r="T17" s="106"/>
      <c r="U17" s="106"/>
      <c r="V17" s="102"/>
      <c r="W17" s="106"/>
      <c r="X17" s="106"/>
      <c r="Y17" s="106"/>
      <c r="Z17" s="106"/>
    </row>
    <row r="18">
      <c r="A18" s="124"/>
      <c r="B18" s="125" t="s">
        <v>101</v>
      </c>
      <c r="C18" s="126" t="s">
        <v>102</v>
      </c>
      <c r="D18" s="124"/>
      <c r="E18" s="125" t="s">
        <v>103</v>
      </c>
      <c r="F18" s="127" t="s">
        <v>104</v>
      </c>
      <c r="G18" s="124"/>
      <c r="H18" s="129"/>
      <c r="I18" s="129"/>
      <c r="J18" s="106"/>
      <c r="K18" s="118"/>
      <c r="L18" s="106"/>
      <c r="O18" s="102"/>
      <c r="P18" s="106"/>
      <c r="Q18" s="106"/>
      <c r="R18" s="106"/>
      <c r="S18" s="106"/>
      <c r="T18" s="106"/>
      <c r="U18" s="106"/>
      <c r="V18" s="102"/>
      <c r="W18" s="106"/>
      <c r="X18" s="106"/>
      <c r="Y18" s="106"/>
      <c r="Z18" s="106"/>
    </row>
    <row r="19">
      <c r="A19" s="124"/>
      <c r="B19" s="125" t="s">
        <v>105</v>
      </c>
      <c r="C19" s="126" t="s">
        <v>106</v>
      </c>
      <c r="D19" s="124"/>
      <c r="E19" s="129"/>
      <c r="F19" s="131"/>
      <c r="G19" s="124"/>
      <c r="H19" s="129"/>
      <c r="I19" s="129"/>
      <c r="J19" s="106"/>
      <c r="K19" s="132"/>
      <c r="L19" s="106"/>
      <c r="O19" s="102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>
      <c r="A20" s="124"/>
      <c r="B20" s="125" t="s">
        <v>107</v>
      </c>
      <c r="C20" s="126" t="s">
        <v>108</v>
      </c>
      <c r="D20" s="124"/>
      <c r="E20" s="129"/>
      <c r="F20" s="131"/>
      <c r="G20" s="124"/>
      <c r="H20" s="129"/>
      <c r="I20" s="129"/>
      <c r="J20" s="106"/>
      <c r="K20" s="132"/>
      <c r="L20" s="106"/>
      <c r="O20" s="102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</row>
    <row r="21">
      <c r="A21" s="124"/>
      <c r="B21" s="125" t="s">
        <v>109</v>
      </c>
      <c r="C21" s="126" t="s">
        <v>110</v>
      </c>
      <c r="D21" s="124"/>
      <c r="E21" s="129"/>
      <c r="F21" s="131"/>
      <c r="G21" s="124"/>
      <c r="H21" s="129"/>
      <c r="I21" s="129"/>
      <c r="J21" s="106"/>
      <c r="K21" s="133"/>
      <c r="L21" s="106"/>
      <c r="O21" s="102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>
      <c r="A22" s="124"/>
      <c r="B22" s="125" t="s">
        <v>111</v>
      </c>
      <c r="C22" s="126" t="s">
        <v>112</v>
      </c>
      <c r="D22" s="124"/>
      <c r="E22" s="129"/>
      <c r="F22" s="131"/>
      <c r="G22" s="124"/>
      <c r="H22" s="129"/>
      <c r="I22" s="129"/>
      <c r="J22" s="106"/>
      <c r="K22" s="133"/>
      <c r="L22" s="106"/>
      <c r="O22" s="102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>
      <c r="A23" s="124"/>
      <c r="B23" s="128"/>
      <c r="C23" s="128"/>
      <c r="D23" s="124"/>
      <c r="E23" s="129"/>
      <c r="F23" s="131"/>
      <c r="G23" s="124"/>
      <c r="H23" s="129"/>
      <c r="I23" s="129"/>
      <c r="J23" s="106"/>
      <c r="K23" s="133"/>
      <c r="L23" s="106"/>
      <c r="O23" s="102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>
      <c r="A24" s="124"/>
      <c r="B24" s="128"/>
      <c r="C24" s="128"/>
      <c r="D24" s="124"/>
      <c r="E24" s="129"/>
      <c r="F24" s="131"/>
      <c r="G24" s="124"/>
      <c r="H24" s="129"/>
      <c r="I24" s="129"/>
      <c r="J24" s="106"/>
      <c r="K24" s="133"/>
      <c r="L24" s="106"/>
      <c r="O24" s="102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>
      <c r="A25" s="124"/>
      <c r="B25" s="128"/>
      <c r="C25" s="128"/>
      <c r="D25" s="124"/>
      <c r="E25" s="129"/>
      <c r="F25" s="131"/>
      <c r="G25" s="124"/>
      <c r="H25" s="129"/>
      <c r="I25" s="129"/>
      <c r="J25" s="106"/>
      <c r="L25" s="106"/>
      <c r="O25" s="102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>
      <c r="A26" s="124"/>
      <c r="B26" s="128"/>
      <c r="C26" s="128"/>
      <c r="D26" s="124"/>
      <c r="E26" s="129"/>
      <c r="F26" s="131"/>
      <c r="G26" s="124"/>
      <c r="H26" s="129"/>
      <c r="I26" s="129"/>
      <c r="J26" s="106"/>
      <c r="K26" s="106"/>
      <c r="L26" s="106"/>
      <c r="M26" s="134"/>
      <c r="N26" s="134"/>
      <c r="O26" s="102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</row>
    <row r="27">
      <c r="A27" s="124"/>
      <c r="B27" s="128"/>
      <c r="C27" s="128"/>
      <c r="D27" s="124"/>
      <c r="E27" s="129"/>
      <c r="F27" s="131"/>
      <c r="G27" s="124"/>
      <c r="H27" s="129"/>
      <c r="I27" s="129"/>
      <c r="J27" s="106"/>
      <c r="K27" s="106"/>
      <c r="L27" s="106"/>
      <c r="M27" s="134"/>
      <c r="N27" s="134"/>
      <c r="O27" s="102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>
      <c r="A28" s="124"/>
      <c r="B28" s="128"/>
      <c r="C28" s="128"/>
      <c r="D28" s="124"/>
      <c r="E28" s="129"/>
      <c r="F28" s="131"/>
      <c r="G28" s="124"/>
      <c r="H28" s="129"/>
      <c r="I28" s="129"/>
      <c r="J28" s="106"/>
      <c r="K28" s="106"/>
      <c r="L28" s="106"/>
      <c r="M28" s="134"/>
      <c r="N28" s="13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>
      <c r="A29" s="124"/>
      <c r="B29" s="128"/>
      <c r="C29" s="128"/>
      <c r="D29" s="124"/>
      <c r="E29" s="129"/>
      <c r="F29" s="131"/>
      <c r="G29" s="124"/>
      <c r="H29" s="129"/>
      <c r="I29" s="129"/>
      <c r="J29" s="106"/>
      <c r="K29" s="106"/>
      <c r="L29" s="106"/>
      <c r="M29" s="134"/>
      <c r="N29" s="134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>
      <c r="A30" s="124"/>
      <c r="B30" s="135"/>
      <c r="C30" s="135"/>
      <c r="D30" s="124"/>
      <c r="E30" s="136"/>
      <c r="F30" s="137"/>
      <c r="G30" s="124"/>
      <c r="H30" s="129"/>
      <c r="I30" s="129"/>
      <c r="J30" s="106"/>
      <c r="K30" s="106"/>
      <c r="L30" s="106"/>
      <c r="M30" s="134"/>
      <c r="N30" s="134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>
      <c r="A31" s="124"/>
      <c r="B31" s="135"/>
      <c r="C31" s="135"/>
      <c r="D31" s="124"/>
      <c r="E31" s="136"/>
      <c r="F31" s="131"/>
      <c r="G31" s="124"/>
      <c r="H31" s="128"/>
      <c r="I31" s="128"/>
      <c r="J31" s="106"/>
      <c r="K31" s="106"/>
      <c r="L31" s="106"/>
      <c r="M31" s="134"/>
      <c r="N31" s="134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>
      <c r="A32" s="124"/>
      <c r="B32" s="135"/>
      <c r="C32" s="135"/>
      <c r="D32" s="124"/>
      <c r="E32" s="136"/>
      <c r="F32" s="131"/>
      <c r="G32" s="124"/>
      <c r="H32" s="128"/>
      <c r="I32" s="128"/>
      <c r="J32" s="106"/>
      <c r="K32" s="106"/>
      <c r="L32" s="106"/>
      <c r="M32" s="134"/>
      <c r="N32" s="134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</row>
    <row r="33">
      <c r="A33" s="124"/>
      <c r="B33" s="135"/>
      <c r="C33" s="135"/>
      <c r="D33" s="124"/>
      <c r="E33" s="136"/>
      <c r="F33" s="131"/>
      <c r="G33" s="124"/>
      <c r="H33" s="128"/>
      <c r="I33" s="128"/>
      <c r="J33" s="106"/>
      <c r="K33" s="106"/>
      <c r="L33" s="106"/>
      <c r="M33" s="134"/>
      <c r="N33" s="134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>
      <c r="A34" s="124"/>
      <c r="B34" s="135"/>
      <c r="C34" s="135"/>
      <c r="D34" s="124"/>
      <c r="E34" s="136"/>
      <c r="F34" s="131"/>
      <c r="G34" s="124"/>
      <c r="H34" s="128"/>
      <c r="I34" s="128"/>
      <c r="J34" s="106"/>
      <c r="K34" s="106"/>
      <c r="L34" s="106"/>
      <c r="M34" s="134"/>
      <c r="N34" s="134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</row>
    <row r="35">
      <c r="A35" s="124"/>
      <c r="B35" s="135"/>
      <c r="C35" s="135"/>
      <c r="D35" s="124"/>
      <c r="E35" s="136"/>
      <c r="F35" s="131"/>
      <c r="G35" s="124"/>
      <c r="H35" s="128"/>
      <c r="I35" s="128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>
      <c r="A36" s="124"/>
      <c r="B36" s="135"/>
      <c r="C36" s="135"/>
      <c r="D36" s="124"/>
      <c r="E36" s="136"/>
      <c r="F36" s="131"/>
      <c r="G36" s="124"/>
      <c r="H36" s="128"/>
      <c r="I36" s="128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</row>
    <row r="37">
      <c r="A37" s="124"/>
      <c r="B37" s="135"/>
      <c r="C37" s="135"/>
      <c r="D37" s="124"/>
      <c r="E37" s="136"/>
      <c r="F37" s="131"/>
      <c r="G37" s="124"/>
      <c r="H37" s="128"/>
      <c r="I37" s="128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>
      <c r="A38" s="124"/>
      <c r="B38" s="135"/>
      <c r="C38" s="135"/>
      <c r="D38" s="124"/>
      <c r="E38" s="136"/>
      <c r="F38" s="131"/>
      <c r="G38" s="124"/>
      <c r="H38" s="128"/>
      <c r="I38" s="128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</row>
    <row r="39">
      <c r="A39" s="124"/>
      <c r="B39" s="135"/>
      <c r="C39" s="135"/>
      <c r="D39" s="124"/>
      <c r="E39" s="136"/>
      <c r="F39" s="131"/>
      <c r="G39" s="124"/>
      <c r="H39" s="128"/>
      <c r="I39" s="128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>
      <c r="A40" s="124"/>
      <c r="B40" s="135"/>
      <c r="C40" s="135"/>
      <c r="D40" s="124"/>
      <c r="E40" s="136"/>
      <c r="F40" s="131"/>
      <c r="G40" s="124"/>
      <c r="H40" s="128"/>
      <c r="I40" s="128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</row>
    <row r="41">
      <c r="A41" s="124"/>
      <c r="B41" s="135"/>
      <c r="C41" s="135"/>
      <c r="D41" s="124"/>
      <c r="E41" s="138"/>
      <c r="F41" s="131"/>
      <c r="G41" s="124"/>
      <c r="H41" s="128"/>
      <c r="I41" s="128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>
      <c r="A42" s="124"/>
      <c r="B42" s="135"/>
      <c r="C42" s="135"/>
      <c r="D42" s="124"/>
      <c r="E42" s="138"/>
      <c r="F42" s="131"/>
      <c r="G42" s="124"/>
      <c r="H42" s="128"/>
      <c r="I42" s="128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</row>
    <row r="43">
      <c r="A43" s="124"/>
      <c r="B43" s="135"/>
      <c r="C43" s="135"/>
      <c r="D43" s="124"/>
      <c r="E43" s="138"/>
      <c r="F43" s="131"/>
      <c r="G43" s="124"/>
      <c r="H43" s="128"/>
      <c r="I43" s="128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>
      <c r="A44" s="124"/>
      <c r="B44" s="135"/>
      <c r="C44" s="135"/>
      <c r="D44" s="124"/>
      <c r="E44" s="138"/>
      <c r="F44" s="131"/>
      <c r="G44" s="124"/>
      <c r="H44" s="128"/>
      <c r="I44" s="128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</row>
    <row r="45">
      <c r="A45" s="124"/>
      <c r="B45" s="135"/>
      <c r="C45" s="135"/>
      <c r="D45" s="124"/>
      <c r="E45" s="138"/>
      <c r="F45" s="131"/>
      <c r="G45" s="124"/>
      <c r="H45" s="128"/>
      <c r="I45" s="128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>
      <c r="A46" s="124"/>
      <c r="B46" s="135"/>
      <c r="C46" s="135"/>
      <c r="D46" s="124"/>
      <c r="E46" s="138"/>
      <c r="F46" s="131"/>
      <c r="G46" s="124"/>
      <c r="H46" s="128"/>
      <c r="I46" s="128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</row>
    <row r="47">
      <c r="A47" s="124"/>
      <c r="B47" s="135"/>
      <c r="C47" s="135"/>
      <c r="D47" s="124"/>
      <c r="E47" s="138"/>
      <c r="F47" s="131"/>
      <c r="G47" s="124"/>
      <c r="H47" s="128"/>
      <c r="I47" s="128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>
      <c r="A48" s="124"/>
      <c r="B48" s="135"/>
      <c r="C48" s="135"/>
      <c r="D48" s="124"/>
      <c r="E48" s="138"/>
      <c r="F48" s="131"/>
      <c r="G48" s="124"/>
      <c r="H48" s="128"/>
      <c r="I48" s="128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</row>
    <row r="49">
      <c r="A49" s="124"/>
      <c r="B49" s="135"/>
      <c r="C49" s="135"/>
      <c r="D49" s="124"/>
      <c r="E49" s="138"/>
      <c r="F49" s="131"/>
      <c r="G49" s="124"/>
      <c r="H49" s="128"/>
      <c r="I49" s="128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>
      <c r="A50" s="124"/>
      <c r="B50" s="135"/>
      <c r="C50" s="135"/>
      <c r="D50" s="124"/>
      <c r="E50" s="138"/>
      <c r="F50" s="131"/>
      <c r="G50" s="124"/>
      <c r="H50" s="128"/>
      <c r="I50" s="128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</row>
    <row r="51">
      <c r="A51" s="124"/>
      <c r="B51" s="135"/>
      <c r="C51" s="135"/>
      <c r="D51" s="124"/>
      <c r="E51" s="138"/>
      <c r="F51" s="131"/>
      <c r="G51" s="124"/>
      <c r="H51" s="128"/>
      <c r="I51" s="128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>
      <c r="A52" s="139"/>
      <c r="B52" s="135"/>
      <c r="C52" s="135"/>
      <c r="D52" s="139"/>
      <c r="E52" s="138"/>
      <c r="F52" s="131"/>
      <c r="G52" s="139"/>
      <c r="H52" s="128"/>
      <c r="I52" s="128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</row>
    <row r="53"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</row>
    <row r="55"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</row>
    <row r="57"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</row>
    <row r="59"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</row>
    <row r="61"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</row>
    <row r="63"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</row>
    <row r="6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</row>
    <row r="67"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</row>
    <row r="69"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</row>
    <row r="71"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</row>
    <row r="73"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</row>
    <row r="75"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</row>
    <row r="77">
      <c r="A77" s="106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>
      <c r="A78" s="106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</row>
    <row r="79">
      <c r="A79" s="106"/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</row>
    <row r="81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>
      <c r="A82" s="106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</row>
    <row r="83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>
      <c r="A84" s="106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</row>
    <row r="85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</row>
    <row r="87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>
      <c r="A88" s="10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</row>
    <row r="89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</row>
    <row r="91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</row>
    <row r="93">
      <c r="A93" s="106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</row>
    <row r="95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>
      <c r="A96" s="106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</row>
    <row r="97">
      <c r="A97" s="106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>
      <c r="A98" s="106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</row>
    <row r="99">
      <c r="A99" s="106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>
      <c r="A100" s="106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</row>
    <row r="101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</row>
    <row r="103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>
      <c r="A104" s="106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</row>
    <row r="105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>
      <c r="A106" s="106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</row>
    <row r="107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>
      <c r="A108" s="106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</row>
    <row r="109">
      <c r="A109" s="106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</row>
    <row r="111">
      <c r="A111" s="106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>
      <c r="A112" s="106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</row>
    <row r="113">
      <c r="A113" s="106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</row>
    <row r="115">
      <c r="A115" s="106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>
      <c r="A116" s="106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</row>
    <row r="117">
      <c r="A117" s="106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>
      <c r="A118" s="106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</row>
    <row r="119">
      <c r="A119" s="106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</row>
    <row r="120">
      <c r="A120" s="106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</row>
    <row r="121">
      <c r="A121" s="106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</row>
    <row r="122">
      <c r="A122" s="106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</row>
    <row r="123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</row>
    <row r="124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</row>
    <row r="125">
      <c r="A125" s="106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</row>
    <row r="126">
      <c r="A126" s="106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</row>
    <row r="127">
      <c r="A127" s="106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</row>
    <row r="128">
      <c r="A128" s="106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</row>
    <row r="129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</row>
    <row r="130">
      <c r="A130" s="106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</row>
    <row r="131">
      <c r="A131" s="106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</row>
    <row r="132">
      <c r="A132" s="106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</row>
    <row r="133">
      <c r="A133" s="106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</row>
    <row r="134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</row>
    <row r="135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</row>
    <row r="136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</row>
    <row r="137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</row>
    <row r="138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</row>
    <row r="139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</row>
    <row r="140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</row>
    <row r="141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</row>
    <row r="142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</row>
    <row r="143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</row>
    <row r="144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</row>
    <row r="145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</row>
    <row r="146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</row>
    <row r="147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</row>
    <row r="148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</row>
    <row r="149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</row>
    <row r="150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</row>
    <row r="151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</row>
    <row r="152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</row>
    <row r="153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</row>
    <row r="154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</row>
    <row r="156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</row>
    <row r="157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</row>
    <row r="158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</row>
    <row r="159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</row>
    <row r="160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</row>
    <row r="161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</row>
    <row r="162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</row>
    <row r="163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</row>
    <row r="164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</row>
    <row r="16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</row>
    <row r="166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</row>
    <row r="167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</row>
    <row r="168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</row>
    <row r="169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</row>
    <row r="170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</row>
    <row r="171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</row>
    <row r="172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</row>
    <row r="173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</row>
    <row r="174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</row>
    <row r="17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</row>
    <row r="176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</row>
    <row r="177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</row>
    <row r="178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</row>
    <row r="179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</row>
    <row r="180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</row>
    <row r="181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</row>
    <row r="182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</row>
    <row r="183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</row>
    <row r="184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</row>
    <row r="185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</row>
    <row r="186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</row>
    <row r="187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</row>
    <row r="188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</row>
    <row r="189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</row>
    <row r="190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</row>
    <row r="191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</row>
    <row r="192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</row>
    <row r="193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</row>
    <row r="194">
      <c r="A194" s="106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</row>
    <row r="195">
      <c r="A195" s="106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</row>
    <row r="196">
      <c r="A196" s="106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</row>
    <row r="197">
      <c r="A197" s="106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</row>
    <row r="198">
      <c r="A198" s="106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</row>
    <row r="199">
      <c r="A199" s="106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</row>
    <row r="200">
      <c r="A200" s="106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</row>
    <row r="201">
      <c r="A201" s="106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</row>
    <row r="202">
      <c r="A202" s="106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</row>
    <row r="203">
      <c r="A203" s="106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</row>
    <row r="204">
      <c r="A204" s="106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</row>
    <row r="205">
      <c r="A205" s="106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</row>
    <row r="206">
      <c r="A206" s="106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</row>
    <row r="207">
      <c r="A207" s="106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</row>
    <row r="208">
      <c r="A208" s="106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</row>
    <row r="209">
      <c r="A209" s="106"/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</row>
    <row r="210">
      <c r="A210" s="106"/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</row>
    <row r="211">
      <c r="A211" s="106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</row>
    <row r="212">
      <c r="A212" s="106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</row>
    <row r="213">
      <c r="A213" s="106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</row>
    <row r="214">
      <c r="A214" s="106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</row>
    <row r="215">
      <c r="A215" s="106"/>
      <c r="B215" s="106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</row>
    <row r="216">
      <c r="A216" s="106"/>
      <c r="B216" s="106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</row>
    <row r="217">
      <c r="A217" s="106"/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</row>
    <row r="218">
      <c r="A218" s="106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</row>
    <row r="219">
      <c r="A219" s="106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</row>
    <row r="220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</row>
    <row r="221">
      <c r="A221" s="106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</row>
    <row r="222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</row>
    <row r="223">
      <c r="A223" s="106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</row>
    <row r="224">
      <c r="A224" s="106"/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</row>
    <row r="225">
      <c r="A225" s="106"/>
      <c r="B225" s="106"/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</row>
    <row r="226">
      <c r="A226" s="106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</row>
    <row r="227">
      <c r="A227" s="106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</row>
    <row r="228">
      <c r="A228" s="106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</row>
    <row r="229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</row>
    <row r="230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</row>
    <row r="231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</row>
    <row r="232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</row>
    <row r="233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</row>
    <row r="234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</row>
    <row r="235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</row>
    <row r="236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</row>
    <row r="237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</row>
    <row r="238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</row>
    <row r="239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</row>
    <row r="240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</row>
    <row r="241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</row>
    <row r="242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</row>
    <row r="243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</row>
    <row r="244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</row>
    <row r="245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</row>
    <row r="246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</row>
    <row r="247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</row>
    <row r="248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</row>
    <row r="249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</row>
    <row r="250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</row>
    <row r="251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</row>
    <row r="252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</row>
    <row r="253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</row>
    <row r="254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</row>
    <row r="255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</row>
    <row r="256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</row>
    <row r="257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</row>
    <row r="258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</row>
    <row r="259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</row>
    <row r="260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</row>
    <row r="261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</row>
    <row r="262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</row>
    <row r="263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</row>
    <row r="264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</row>
    <row r="265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</row>
    <row r="266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</row>
    <row r="267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</row>
    <row r="268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</row>
    <row r="269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</row>
    <row r="270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</row>
    <row r="271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</row>
    <row r="272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</row>
    <row r="273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</row>
    <row r="274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</row>
    <row r="275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</row>
    <row r="276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</row>
    <row r="277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</row>
    <row r="278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</row>
    <row r="279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</row>
    <row r="280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</row>
    <row r="281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</row>
    <row r="282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</row>
    <row r="283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</row>
    <row r="284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</row>
    <row r="285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</row>
    <row r="286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</row>
    <row r="287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</row>
    <row r="288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</row>
    <row r="289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</row>
    <row r="290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</row>
    <row r="291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</row>
    <row r="292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</row>
    <row r="293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</row>
    <row r="294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</row>
    <row r="295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</row>
    <row r="296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</row>
    <row r="297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</row>
    <row r="298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</row>
    <row r="299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</row>
    <row r="300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</row>
    <row r="301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</row>
    <row r="302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</row>
    <row r="303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</row>
    <row r="304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</row>
    <row r="305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</row>
    <row r="306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</row>
    <row r="307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</row>
    <row r="308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</row>
    <row r="309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</row>
    <row r="310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</row>
    <row r="311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</row>
    <row r="312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</row>
    <row r="313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</row>
    <row r="314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</row>
    <row r="315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</row>
    <row r="316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</row>
    <row r="317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</row>
    <row r="318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</row>
    <row r="319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</row>
    <row r="320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</row>
    <row r="321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</row>
    <row r="322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</row>
    <row r="323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</row>
    <row r="324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</row>
    <row r="325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</row>
    <row r="326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</row>
    <row r="327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</row>
    <row r="328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</row>
    <row r="329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</row>
    <row r="330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</row>
    <row r="331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</row>
    <row r="332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</row>
    <row r="333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</row>
    <row r="334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</row>
    <row r="335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</row>
    <row r="336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</row>
    <row r="337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</row>
    <row r="338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</row>
    <row r="339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</row>
    <row r="340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</row>
    <row r="341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</row>
    <row r="342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</row>
    <row r="343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</row>
    <row r="344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</row>
    <row r="345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</row>
    <row r="346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</row>
    <row r="347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</row>
    <row r="348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</row>
    <row r="349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</row>
    <row r="350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</row>
    <row r="351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</row>
    <row r="352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</row>
    <row r="353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</row>
    <row r="354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</row>
    <row r="355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</row>
    <row r="356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</row>
    <row r="357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</row>
    <row r="358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</row>
    <row r="359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</row>
    <row r="360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</row>
    <row r="361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</row>
    <row r="362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</row>
    <row r="363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</row>
    <row r="364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</row>
    <row r="365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</row>
    <row r="366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</row>
    <row r="367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</row>
    <row r="368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</row>
    <row r="369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</row>
    <row r="370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</row>
    <row r="371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</row>
    <row r="372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</row>
    <row r="373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</row>
    <row r="374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</row>
    <row r="375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</row>
    <row r="376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</row>
    <row r="377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</row>
    <row r="378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</row>
    <row r="379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</row>
    <row r="380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</row>
    <row r="381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</row>
    <row r="382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</row>
    <row r="383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</row>
    <row r="384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</row>
    <row r="385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</row>
    <row r="386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</row>
    <row r="387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</row>
    <row r="388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</row>
    <row r="389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</row>
    <row r="390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</row>
    <row r="391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</row>
    <row r="392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</row>
    <row r="393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</row>
    <row r="394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</row>
    <row r="395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</row>
    <row r="396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</row>
    <row r="397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</row>
    <row r="398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</row>
    <row r="399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</row>
    <row r="400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</row>
    <row r="401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</row>
    <row r="402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</row>
    <row r="403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</row>
    <row r="404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</row>
    <row r="405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</row>
    <row r="406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</row>
    <row r="407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</row>
    <row r="408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</row>
    <row r="409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</row>
    <row r="410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</row>
    <row r="411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</row>
    <row r="412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</row>
    <row r="413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</row>
    <row r="414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</row>
    <row r="415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</row>
    <row r="416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</row>
    <row r="417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</row>
    <row r="418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</row>
    <row r="419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</row>
    <row r="420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</row>
    <row r="421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</row>
    <row r="422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</row>
    <row r="423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</row>
    <row r="424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</row>
    <row r="425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</row>
    <row r="426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</row>
    <row r="427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</row>
    <row r="428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</row>
    <row r="429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</row>
    <row r="430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</row>
    <row r="431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</row>
    <row r="432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</row>
    <row r="433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</row>
    <row r="434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</row>
    <row r="435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</row>
    <row r="436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</row>
    <row r="437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</row>
    <row r="438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</row>
    <row r="439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</row>
    <row r="440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</row>
    <row r="441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</row>
    <row r="442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</row>
    <row r="443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</row>
    <row r="444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</row>
    <row r="445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</row>
    <row r="446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</row>
    <row r="447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</row>
    <row r="448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</row>
    <row r="449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</row>
    <row r="450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</row>
    <row r="451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</row>
    <row r="452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</row>
    <row r="453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</row>
    <row r="454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</row>
    <row r="455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</row>
    <row r="456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</row>
    <row r="457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</row>
    <row r="458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</row>
    <row r="459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</row>
    <row r="460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</row>
    <row r="461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</row>
    <row r="462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</row>
    <row r="463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</row>
    <row r="464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</row>
    <row r="465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</row>
    <row r="466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</row>
    <row r="467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</row>
    <row r="468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</row>
    <row r="469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</row>
    <row r="470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</row>
    <row r="471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</row>
    <row r="472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</row>
    <row r="473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</row>
    <row r="474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</row>
    <row r="475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</row>
    <row r="476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</row>
    <row r="477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</row>
    <row r="478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</row>
    <row r="479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</row>
    <row r="480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</row>
    <row r="481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</row>
    <row r="482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</row>
    <row r="483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</row>
    <row r="484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</row>
    <row r="485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</row>
    <row r="486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</row>
    <row r="487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</row>
    <row r="488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</row>
    <row r="489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</row>
    <row r="490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</row>
    <row r="491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</row>
    <row r="492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</row>
    <row r="493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</row>
    <row r="494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</row>
    <row r="495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</row>
    <row r="496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</row>
    <row r="497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</row>
    <row r="498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</row>
    <row r="499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</row>
    <row r="500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</row>
    <row r="501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</row>
    <row r="502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</row>
    <row r="503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</row>
    <row r="504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</row>
    <row r="505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</row>
    <row r="506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</row>
    <row r="507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</row>
    <row r="508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</row>
    <row r="509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</row>
    <row r="510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</row>
    <row r="511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</row>
    <row r="512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</row>
    <row r="513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</row>
    <row r="514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</row>
    <row r="515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</row>
    <row r="516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</row>
    <row r="517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</row>
    <row r="518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</row>
    <row r="519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</row>
    <row r="520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</row>
    <row r="521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</row>
    <row r="522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</row>
    <row r="523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</row>
    <row r="524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</row>
    <row r="525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</row>
    <row r="526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</row>
    <row r="527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</row>
    <row r="528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</row>
    <row r="529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</row>
    <row r="530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</row>
    <row r="531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</row>
    <row r="532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</row>
    <row r="533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</row>
    <row r="534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</row>
    <row r="535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</row>
    <row r="536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</row>
    <row r="537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</row>
    <row r="538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</row>
    <row r="539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</row>
    <row r="540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</row>
    <row r="541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</row>
    <row r="542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</row>
    <row r="543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</row>
    <row r="544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</row>
    <row r="545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</row>
    <row r="546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</row>
    <row r="547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</row>
    <row r="548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</row>
    <row r="549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</row>
    <row r="550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</row>
    <row r="551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</row>
    <row r="552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</row>
    <row r="553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</row>
    <row r="554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</row>
    <row r="555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</row>
    <row r="556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</row>
    <row r="557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</row>
    <row r="558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</row>
    <row r="559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</row>
    <row r="560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</row>
    <row r="561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</row>
    <row r="562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</row>
    <row r="563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</row>
    <row r="564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</row>
    <row r="565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</row>
    <row r="566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</row>
    <row r="567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</row>
    <row r="568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</row>
    <row r="569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</row>
    <row r="570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</row>
    <row r="571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</row>
    <row r="572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</row>
    <row r="573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</row>
    <row r="574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</row>
    <row r="575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</row>
    <row r="576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</row>
    <row r="577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</row>
    <row r="578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</row>
    <row r="579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</row>
    <row r="580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</row>
    <row r="581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</row>
    <row r="582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</row>
    <row r="583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</row>
    <row r="584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</row>
    <row r="585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</row>
    <row r="586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</row>
    <row r="587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</row>
    <row r="588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</row>
    <row r="589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</row>
    <row r="590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</row>
    <row r="591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</row>
    <row r="592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</row>
    <row r="593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</row>
    <row r="594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</row>
    <row r="595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</row>
    <row r="596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</row>
    <row r="597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</row>
    <row r="598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</row>
    <row r="599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</row>
    <row r="600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</row>
    <row r="601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</row>
    <row r="602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</row>
    <row r="603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</row>
    <row r="604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</row>
    <row r="605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</row>
    <row r="606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</row>
    <row r="607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</row>
    <row r="608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</row>
    <row r="609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</row>
    <row r="610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</row>
    <row r="611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</row>
    <row r="612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</row>
    <row r="613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</row>
    <row r="614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</row>
    <row r="615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</row>
    <row r="616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</row>
    <row r="617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</row>
    <row r="618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</row>
    <row r="619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</row>
    <row r="620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</row>
    <row r="621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</row>
    <row r="622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</row>
    <row r="623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</row>
    <row r="624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</row>
    <row r="625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</row>
    <row r="626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</row>
    <row r="627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</row>
    <row r="628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</row>
    <row r="629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</row>
    <row r="630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</row>
    <row r="631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</row>
    <row r="632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</row>
    <row r="633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</row>
    <row r="634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</row>
    <row r="635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</row>
    <row r="636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</row>
    <row r="637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</row>
    <row r="638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</row>
    <row r="639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</row>
    <row r="640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</row>
    <row r="641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</row>
    <row r="642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</row>
    <row r="643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</row>
    <row r="644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</row>
    <row r="645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</row>
    <row r="646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</row>
    <row r="647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</row>
    <row r="648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</row>
    <row r="649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</row>
    <row r="650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</row>
    <row r="65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</row>
    <row r="652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</row>
    <row r="653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</row>
    <row r="654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</row>
    <row r="655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</row>
    <row r="656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</row>
    <row r="657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</row>
    <row r="658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</row>
    <row r="659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</row>
    <row r="660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</row>
    <row r="661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</row>
    <row r="662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</row>
    <row r="663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</row>
    <row r="664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</row>
    <row r="665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</row>
    <row r="666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</row>
    <row r="667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</row>
    <row r="668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</row>
    <row r="669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</row>
    <row r="670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</row>
    <row r="671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</row>
    <row r="672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</row>
    <row r="673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</row>
    <row r="674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</row>
    <row r="675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</row>
    <row r="676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</row>
    <row r="677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</row>
    <row r="678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</row>
    <row r="679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</row>
    <row r="680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</row>
    <row r="681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</row>
    <row r="682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</row>
    <row r="683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</row>
    <row r="684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</row>
    <row r="685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</row>
    <row r="686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</row>
    <row r="687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</row>
    <row r="688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</row>
    <row r="689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</row>
    <row r="690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</row>
    <row r="691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</row>
    <row r="692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</row>
    <row r="693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</row>
    <row r="694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</row>
    <row r="695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</row>
    <row r="696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</row>
    <row r="697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</row>
    <row r="698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</row>
    <row r="699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</row>
    <row r="700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</row>
    <row r="701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</row>
    <row r="702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</row>
    <row r="703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</row>
    <row r="704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</row>
    <row r="705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</row>
    <row r="706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</row>
    <row r="707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</row>
    <row r="708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</row>
    <row r="709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</row>
    <row r="710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</row>
    <row r="711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</row>
    <row r="712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</row>
    <row r="713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</row>
    <row r="714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</row>
    <row r="715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</row>
    <row r="716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</row>
    <row r="717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</row>
    <row r="718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</row>
    <row r="719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</row>
    <row r="720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</row>
    <row r="721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</row>
    <row r="722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</row>
    <row r="723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</row>
    <row r="724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</row>
    <row r="725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</row>
    <row r="726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</row>
    <row r="727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</row>
    <row r="728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</row>
    <row r="729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</row>
    <row r="730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</row>
    <row r="73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</row>
    <row r="732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</row>
    <row r="733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</row>
    <row r="734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</row>
    <row r="735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</row>
    <row r="736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</row>
    <row r="737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</row>
    <row r="738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</row>
    <row r="739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</row>
    <row r="740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</row>
    <row r="74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</row>
    <row r="742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</row>
    <row r="743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</row>
    <row r="744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</row>
    <row r="745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</row>
    <row r="746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</row>
    <row r="747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</row>
    <row r="748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</row>
    <row r="749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</row>
    <row r="750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</row>
    <row r="75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</row>
    <row r="752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</row>
    <row r="753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</row>
    <row r="754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</row>
    <row r="755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</row>
    <row r="756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</row>
    <row r="757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</row>
    <row r="758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</row>
    <row r="759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</row>
    <row r="760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</row>
    <row r="76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</row>
    <row r="762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</row>
    <row r="763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</row>
    <row r="764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</row>
    <row r="765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</row>
    <row r="766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</row>
    <row r="767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</row>
    <row r="768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</row>
    <row r="769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</row>
    <row r="770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</row>
    <row r="77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</row>
    <row r="772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</row>
    <row r="773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</row>
    <row r="774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</row>
    <row r="775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</row>
    <row r="776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</row>
    <row r="777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</row>
    <row r="778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</row>
    <row r="779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</row>
    <row r="780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</row>
    <row r="78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</row>
    <row r="782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</row>
    <row r="783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</row>
    <row r="784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</row>
    <row r="785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</row>
    <row r="786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</row>
    <row r="787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</row>
    <row r="788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</row>
    <row r="789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</row>
    <row r="790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</row>
    <row r="79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</row>
    <row r="792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</row>
    <row r="793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</row>
    <row r="794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</row>
    <row r="795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</row>
    <row r="796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</row>
    <row r="797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</row>
    <row r="798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</row>
    <row r="799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</row>
    <row r="800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</row>
    <row r="80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</row>
    <row r="802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</row>
    <row r="803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</row>
    <row r="804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</row>
    <row r="805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</row>
    <row r="806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</row>
    <row r="807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</row>
    <row r="808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</row>
    <row r="809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</row>
    <row r="810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</row>
    <row r="81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</row>
    <row r="812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</row>
    <row r="813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</row>
    <row r="814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</row>
    <row r="815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</row>
    <row r="816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</row>
    <row r="817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</row>
    <row r="818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</row>
    <row r="819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</row>
    <row r="820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</row>
    <row r="82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</row>
    <row r="822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</row>
    <row r="823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</row>
    <row r="824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</row>
    <row r="825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</row>
    <row r="826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</row>
    <row r="827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</row>
    <row r="828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</row>
    <row r="829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</row>
    <row r="830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</row>
    <row r="83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</row>
    <row r="832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</row>
    <row r="833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</row>
    <row r="834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</row>
    <row r="835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</row>
    <row r="836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</row>
    <row r="837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</row>
    <row r="838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</row>
    <row r="839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</row>
    <row r="840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</row>
    <row r="84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</row>
    <row r="842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</row>
    <row r="843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</row>
    <row r="844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</row>
    <row r="845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</row>
    <row r="846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</row>
    <row r="847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</row>
    <row r="848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</row>
    <row r="849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</row>
    <row r="850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</row>
    <row r="85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</row>
    <row r="852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</row>
    <row r="853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</row>
    <row r="854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</row>
    <row r="855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</row>
    <row r="856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</row>
    <row r="857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</row>
    <row r="858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</row>
    <row r="859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</row>
    <row r="860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</row>
    <row r="86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</row>
    <row r="862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</row>
    <row r="863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</row>
    <row r="864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</row>
    <row r="865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</row>
    <row r="866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</row>
    <row r="867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</row>
    <row r="868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</row>
    <row r="869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</row>
    <row r="870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</row>
    <row r="87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</row>
    <row r="872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</row>
    <row r="873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</row>
    <row r="874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</row>
    <row r="875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</row>
    <row r="876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</row>
    <row r="877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</row>
    <row r="878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</row>
    <row r="879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</row>
    <row r="880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</row>
    <row r="88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</row>
    <row r="882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</row>
    <row r="883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</row>
    <row r="884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</row>
    <row r="885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</row>
    <row r="886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</row>
    <row r="887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</row>
    <row r="888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</row>
    <row r="889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</row>
    <row r="890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</row>
    <row r="89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</row>
    <row r="892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</row>
    <row r="893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</row>
    <row r="894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</row>
    <row r="895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</row>
    <row r="896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</row>
    <row r="897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</row>
    <row r="898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</row>
    <row r="899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</row>
    <row r="900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</row>
    <row r="901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</row>
    <row r="902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</row>
    <row r="903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</row>
    <row r="904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</row>
    <row r="905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</row>
    <row r="906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</row>
    <row r="907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</row>
    <row r="908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</row>
    <row r="909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</row>
    <row r="910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</row>
    <row r="911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</row>
    <row r="912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</row>
    <row r="913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</row>
    <row r="914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</row>
    <row r="915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</row>
    <row r="916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</row>
    <row r="917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</row>
    <row r="918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</row>
    <row r="919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</row>
    <row r="920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</row>
    <row r="921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</row>
    <row r="922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</row>
    <row r="923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</row>
    <row r="924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</row>
    <row r="925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</row>
    <row r="926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</row>
    <row r="927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</row>
    <row r="928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</row>
    <row r="929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</row>
    <row r="930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</row>
    <row r="931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</row>
    <row r="932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</row>
    <row r="933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</row>
    <row r="934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</row>
    <row r="935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</row>
    <row r="936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</row>
    <row r="937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</row>
    <row r="938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</row>
    <row r="939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</row>
    <row r="940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</row>
    <row r="941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</row>
    <row r="942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</row>
    <row r="943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</row>
    <row r="944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</row>
    <row r="945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</row>
    <row r="946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</row>
    <row r="947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</row>
    <row r="948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</row>
    <row r="949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</row>
    <row r="950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</row>
    <row r="951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</row>
    <row r="952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</row>
    <row r="953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</row>
    <row r="954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</row>
    <row r="955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</row>
    <row r="956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</row>
    <row r="957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</row>
    <row r="958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</row>
    <row r="959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</row>
    <row r="960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</row>
    <row r="961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</row>
    <row r="962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</row>
    <row r="963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</row>
    <row r="964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</row>
    <row r="965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</row>
    <row r="966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</row>
    <row r="967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</row>
    <row r="968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</row>
    <row r="969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</row>
    <row r="970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</row>
    <row r="971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</row>
    <row r="972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</row>
    <row r="973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</row>
    <row r="974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</row>
    <row r="975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</row>
    <row r="976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</row>
    <row r="977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</row>
    <row r="978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</row>
    <row r="979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</row>
    <row r="980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</row>
    <row r="981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</row>
    <row r="982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</row>
    <row r="983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</row>
    <row r="984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</row>
    <row r="985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</row>
    <row r="986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</row>
    <row r="987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</row>
    <row r="988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</row>
    <row r="989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</row>
    <row r="990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</row>
    <row r="991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</row>
    <row r="992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</row>
    <row r="993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</row>
    <row r="994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</row>
    <row r="995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</row>
    <row r="996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</row>
    <row r="997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</row>
    <row r="998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</row>
    <row r="999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</row>
    <row r="1000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</row>
  </sheetData>
  <mergeCells count="4">
    <mergeCell ref="A11:I11"/>
    <mergeCell ref="A12:A52"/>
    <mergeCell ref="D12:D52"/>
    <mergeCell ref="G12:G52"/>
  </mergeCells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38"/>
    <col customWidth="1" min="2" max="2" width="13.38"/>
    <col customWidth="1" min="3" max="3" width="9.38"/>
    <col customWidth="1" min="4" max="4" width="21.25"/>
    <col customWidth="1" min="5" max="5" width="10.13"/>
    <col customWidth="1" min="6" max="6" width="15.5"/>
    <col customWidth="1" min="7" max="7" width="6.25"/>
    <col customWidth="1" min="9" max="9" width="11.38"/>
  </cols>
  <sheetData>
    <row r="1">
      <c r="A1" s="140" t="s">
        <v>113</v>
      </c>
      <c r="B1" s="12"/>
      <c r="C1" s="12"/>
      <c r="D1" s="12"/>
      <c r="E1" s="12"/>
      <c r="F1" s="12"/>
      <c r="G1" s="12"/>
      <c r="H1" s="141"/>
      <c r="I1" s="141"/>
      <c r="J1" s="141"/>
      <c r="K1" s="141"/>
      <c r="L1" s="141"/>
      <c r="M1" s="141"/>
    </row>
    <row r="2">
      <c r="A2" s="142" t="s">
        <v>114</v>
      </c>
      <c r="B2" s="143" t="s">
        <v>115</v>
      </c>
      <c r="C2" s="144" t="s">
        <v>116</v>
      </c>
      <c r="D2" s="145" t="s">
        <v>117</v>
      </c>
      <c r="E2" s="143" t="s">
        <v>118</v>
      </c>
      <c r="F2" s="145" t="s">
        <v>119</v>
      </c>
      <c r="G2" s="146" t="s">
        <v>11</v>
      </c>
      <c r="H2" s="147"/>
      <c r="I2" s="147"/>
      <c r="J2" s="147"/>
      <c r="K2" s="141"/>
      <c r="L2" s="141"/>
    </row>
    <row r="3">
      <c r="A3" s="148" t="s">
        <v>47</v>
      </c>
      <c r="B3" s="149" t="s">
        <v>99</v>
      </c>
      <c r="C3" s="150">
        <v>43857.0</v>
      </c>
      <c r="D3" s="151" t="s">
        <v>99</v>
      </c>
      <c r="E3" s="152">
        <v>0.22</v>
      </c>
      <c r="F3" s="153" t="s">
        <v>14</v>
      </c>
      <c r="G3" s="154" t="s">
        <v>16</v>
      </c>
      <c r="H3" s="155"/>
      <c r="J3" s="156"/>
      <c r="K3" s="141"/>
      <c r="L3" s="141"/>
      <c r="M3" s="157"/>
    </row>
    <row r="4">
      <c r="A4" s="158" t="s">
        <v>47</v>
      </c>
      <c r="B4" s="159" t="s">
        <v>91</v>
      </c>
      <c r="C4" s="160">
        <v>43832.0</v>
      </c>
      <c r="D4" s="161" t="s">
        <v>120</v>
      </c>
      <c r="E4" s="162">
        <v>10.0</v>
      </c>
      <c r="F4" s="163" t="s">
        <v>26</v>
      </c>
      <c r="G4" s="154" t="s">
        <v>27</v>
      </c>
      <c r="H4" s="164"/>
      <c r="I4" s="165"/>
      <c r="J4" s="166"/>
      <c r="K4" s="167"/>
      <c r="L4" s="168"/>
      <c r="M4" s="169"/>
    </row>
    <row r="5">
      <c r="A5" s="158" t="s">
        <v>47</v>
      </c>
      <c r="B5" s="159" t="s">
        <v>99</v>
      </c>
      <c r="C5" s="160">
        <v>43832.0</v>
      </c>
      <c r="D5" s="161" t="s">
        <v>99</v>
      </c>
      <c r="E5" s="170">
        <v>0.08</v>
      </c>
      <c r="F5" s="163" t="s">
        <v>14</v>
      </c>
      <c r="G5" s="154" t="s">
        <v>16</v>
      </c>
      <c r="H5" s="164"/>
      <c r="I5" s="165"/>
    </row>
    <row r="6">
      <c r="A6" s="158" t="s">
        <v>47</v>
      </c>
      <c r="B6" s="159" t="s">
        <v>95</v>
      </c>
      <c r="C6" s="171">
        <v>43832.0</v>
      </c>
      <c r="D6" s="161" t="s">
        <v>121</v>
      </c>
      <c r="E6" s="170">
        <v>300.0</v>
      </c>
      <c r="F6" s="163" t="s">
        <v>22</v>
      </c>
      <c r="G6" s="172" t="s">
        <v>24</v>
      </c>
      <c r="H6" s="164"/>
      <c r="I6" s="165"/>
    </row>
    <row r="7">
      <c r="A7" s="158" t="s">
        <v>47</v>
      </c>
      <c r="B7" s="159" t="s">
        <v>77</v>
      </c>
      <c r="C7" s="160">
        <v>43861.0</v>
      </c>
      <c r="D7" s="161" t="s">
        <v>77</v>
      </c>
      <c r="E7" s="170">
        <v>120.0</v>
      </c>
      <c r="F7" s="163" t="s">
        <v>26</v>
      </c>
      <c r="G7" s="173" t="s">
        <v>27</v>
      </c>
      <c r="H7" s="164"/>
      <c r="I7" s="165"/>
    </row>
    <row r="8">
      <c r="A8" s="158" t="s">
        <v>47</v>
      </c>
      <c r="B8" s="159" t="s">
        <v>77</v>
      </c>
      <c r="C8" s="160">
        <v>43833.0</v>
      </c>
      <c r="D8" s="161" t="s">
        <v>77</v>
      </c>
      <c r="E8" s="170">
        <v>120.0</v>
      </c>
      <c r="F8" s="163" t="s">
        <v>26</v>
      </c>
      <c r="G8" s="154" t="s">
        <v>27</v>
      </c>
      <c r="H8" s="164"/>
      <c r="I8" s="165"/>
    </row>
    <row r="9">
      <c r="A9" s="158" t="s">
        <v>47</v>
      </c>
      <c r="B9" s="159" t="s">
        <v>77</v>
      </c>
      <c r="C9" s="160">
        <v>43840.0</v>
      </c>
      <c r="D9" s="161" t="s">
        <v>77</v>
      </c>
      <c r="E9" s="170">
        <v>120.0</v>
      </c>
      <c r="F9" s="163" t="s">
        <v>26</v>
      </c>
      <c r="G9" s="154" t="s">
        <v>27</v>
      </c>
      <c r="H9" s="164"/>
      <c r="I9" s="165"/>
    </row>
    <row r="10">
      <c r="A10" s="158" t="s">
        <v>47</v>
      </c>
      <c r="B10" s="159" t="s">
        <v>99</v>
      </c>
      <c r="C10" s="160">
        <v>43840.0</v>
      </c>
      <c r="D10" s="161" t="s">
        <v>99</v>
      </c>
      <c r="E10" s="170">
        <v>0.28</v>
      </c>
      <c r="F10" s="163" t="s">
        <v>14</v>
      </c>
      <c r="G10" s="154" t="s">
        <v>16</v>
      </c>
      <c r="H10" s="164"/>
      <c r="I10" s="165"/>
    </row>
    <row r="11">
      <c r="A11" s="158" t="s">
        <v>47</v>
      </c>
      <c r="B11" s="159" t="s">
        <v>91</v>
      </c>
      <c r="C11" s="160">
        <v>43840.0</v>
      </c>
      <c r="D11" s="161" t="s">
        <v>122</v>
      </c>
      <c r="E11" s="170">
        <v>60.0</v>
      </c>
      <c r="F11" s="163" t="s">
        <v>26</v>
      </c>
      <c r="G11" s="154" t="s">
        <v>27</v>
      </c>
      <c r="H11" s="164"/>
      <c r="I11" s="165"/>
    </row>
    <row r="12">
      <c r="A12" s="158" t="s">
        <v>47</v>
      </c>
      <c r="B12" s="159" t="s">
        <v>95</v>
      </c>
      <c r="C12" s="160">
        <v>43840.0</v>
      </c>
      <c r="D12" s="161" t="s">
        <v>123</v>
      </c>
      <c r="E12" s="170">
        <v>50.0</v>
      </c>
      <c r="F12" s="163" t="s">
        <v>22</v>
      </c>
      <c r="G12" s="154" t="s">
        <v>24</v>
      </c>
      <c r="H12" s="164"/>
      <c r="I12" s="165"/>
      <c r="O12" s="174"/>
    </row>
    <row r="13">
      <c r="A13" s="158" t="s">
        <v>47</v>
      </c>
      <c r="B13" s="159" t="s">
        <v>99</v>
      </c>
      <c r="C13" s="160">
        <v>43843.0</v>
      </c>
      <c r="D13" s="161" t="s">
        <v>99</v>
      </c>
      <c r="E13" s="170">
        <v>0.06</v>
      </c>
      <c r="F13" s="163" t="s">
        <v>14</v>
      </c>
      <c r="G13" s="154" t="s">
        <v>16</v>
      </c>
      <c r="H13" s="164"/>
      <c r="I13" s="165"/>
      <c r="O13" s="174"/>
    </row>
    <row r="14">
      <c r="A14" s="158" t="s">
        <v>47</v>
      </c>
      <c r="B14" s="159" t="s">
        <v>95</v>
      </c>
      <c r="C14" s="160">
        <v>43843.0</v>
      </c>
      <c r="D14" s="161" t="s">
        <v>72</v>
      </c>
      <c r="E14" s="170">
        <v>100.0</v>
      </c>
      <c r="F14" s="163" t="s">
        <v>22</v>
      </c>
      <c r="G14" s="172" t="s">
        <v>24</v>
      </c>
      <c r="H14" s="164"/>
      <c r="I14" s="165"/>
    </row>
    <row r="15">
      <c r="A15" s="158" t="s">
        <v>47</v>
      </c>
      <c r="B15" s="159" t="s">
        <v>95</v>
      </c>
      <c r="C15" s="160">
        <v>43847.0</v>
      </c>
      <c r="D15" s="161" t="s">
        <v>124</v>
      </c>
      <c r="E15" s="170">
        <v>40.0</v>
      </c>
      <c r="F15" s="163" t="s">
        <v>22</v>
      </c>
      <c r="G15" s="154" t="s">
        <v>24</v>
      </c>
      <c r="H15" s="164"/>
      <c r="I15" s="165"/>
      <c r="O15" s="156"/>
      <c r="P15" s="31"/>
    </row>
    <row r="16">
      <c r="A16" s="158" t="s">
        <v>47</v>
      </c>
      <c r="B16" s="159" t="s">
        <v>91</v>
      </c>
      <c r="C16" s="160">
        <v>43848.0</v>
      </c>
      <c r="D16" s="161" t="s">
        <v>125</v>
      </c>
      <c r="E16" s="170">
        <v>20.0</v>
      </c>
      <c r="F16" s="163" t="s">
        <v>22</v>
      </c>
      <c r="G16" s="154" t="s">
        <v>24</v>
      </c>
      <c r="H16" s="164"/>
      <c r="I16" s="165"/>
      <c r="O16" s="156"/>
      <c r="P16" s="31"/>
    </row>
    <row r="17">
      <c r="A17" s="158" t="s">
        <v>47</v>
      </c>
      <c r="B17" s="159" t="s">
        <v>77</v>
      </c>
      <c r="C17" s="160">
        <v>43850.0</v>
      </c>
      <c r="D17" s="161" t="s">
        <v>77</v>
      </c>
      <c r="E17" s="170">
        <v>120.0</v>
      </c>
      <c r="F17" s="163" t="s">
        <v>26</v>
      </c>
      <c r="G17" s="154" t="s">
        <v>27</v>
      </c>
      <c r="H17" s="164"/>
      <c r="I17" s="165"/>
      <c r="O17" s="156"/>
      <c r="P17" s="31"/>
    </row>
    <row r="18">
      <c r="A18" s="158" t="s">
        <v>47</v>
      </c>
      <c r="B18" s="159" t="s">
        <v>77</v>
      </c>
      <c r="C18" s="160">
        <v>43854.0</v>
      </c>
      <c r="D18" s="161" t="s">
        <v>77</v>
      </c>
      <c r="E18" s="170">
        <v>120.0</v>
      </c>
      <c r="F18" s="163" t="s">
        <v>26</v>
      </c>
      <c r="G18" s="154" t="s">
        <v>27</v>
      </c>
      <c r="H18" s="164"/>
      <c r="I18" s="165"/>
      <c r="O18" s="156"/>
      <c r="P18" s="175"/>
    </row>
    <row r="19">
      <c r="A19" s="158" t="s">
        <v>47</v>
      </c>
      <c r="B19" s="159" t="s">
        <v>91</v>
      </c>
      <c r="C19" s="171">
        <v>43832.0</v>
      </c>
      <c r="D19" s="31" t="s">
        <v>126</v>
      </c>
      <c r="E19" s="162">
        <v>1.0</v>
      </c>
      <c r="F19" s="163" t="s">
        <v>22</v>
      </c>
      <c r="G19" s="172" t="s">
        <v>24</v>
      </c>
      <c r="H19" s="164"/>
      <c r="I19" s="165"/>
      <c r="O19" s="156"/>
      <c r="P19" s="175"/>
    </row>
    <row r="20">
      <c r="A20" s="158" t="s">
        <v>47</v>
      </c>
      <c r="B20" s="159" t="s">
        <v>91</v>
      </c>
      <c r="C20" s="171">
        <v>43834.0</v>
      </c>
      <c r="D20" s="175" t="s">
        <v>126</v>
      </c>
      <c r="E20" s="162">
        <v>1.25</v>
      </c>
      <c r="F20" s="163" t="s">
        <v>22</v>
      </c>
      <c r="G20" s="176" t="s">
        <v>24</v>
      </c>
      <c r="H20" s="164"/>
      <c r="I20" s="165"/>
      <c r="O20" s="177"/>
    </row>
    <row r="21">
      <c r="A21" s="158" t="s">
        <v>47</v>
      </c>
      <c r="B21" s="159"/>
      <c r="C21" s="178"/>
      <c r="D21" s="179"/>
      <c r="E21" s="180"/>
      <c r="F21" s="163"/>
      <c r="G21" s="176"/>
      <c r="H21" s="164"/>
      <c r="I21" s="165"/>
    </row>
    <row r="22">
      <c r="A22" s="158" t="s">
        <v>47</v>
      </c>
      <c r="B22" s="159"/>
      <c r="C22" s="178"/>
      <c r="D22" s="179"/>
      <c r="E22" s="180"/>
      <c r="F22" s="163"/>
      <c r="G22" s="176"/>
      <c r="H22" s="164"/>
      <c r="I22" s="165"/>
    </row>
    <row r="23">
      <c r="A23" s="158" t="s">
        <v>47</v>
      </c>
      <c r="B23" s="159"/>
      <c r="C23" s="178"/>
      <c r="D23" s="179"/>
      <c r="E23" s="180"/>
      <c r="F23" s="163"/>
      <c r="G23" s="176"/>
      <c r="H23" s="164"/>
      <c r="I23" s="165"/>
    </row>
    <row r="24">
      <c r="A24" s="158" t="s">
        <v>47</v>
      </c>
      <c r="B24" s="159"/>
      <c r="C24" s="178"/>
      <c r="D24" s="179"/>
      <c r="E24" s="180"/>
      <c r="F24" s="163"/>
      <c r="G24" s="176"/>
      <c r="H24" s="164"/>
      <c r="I24" s="165"/>
    </row>
    <row r="25">
      <c r="A25" s="158" t="s">
        <v>47</v>
      </c>
      <c r="B25" s="159"/>
      <c r="C25" s="178"/>
      <c r="D25" s="179"/>
      <c r="E25" s="180"/>
      <c r="F25" s="163"/>
      <c r="G25" s="176"/>
      <c r="H25" s="164"/>
      <c r="I25" s="165"/>
    </row>
    <row r="26">
      <c r="A26" s="158" t="s">
        <v>47</v>
      </c>
      <c r="B26" s="159"/>
      <c r="C26" s="178"/>
      <c r="D26" s="179"/>
      <c r="E26" s="180"/>
      <c r="F26" s="163"/>
      <c r="G26" s="176"/>
      <c r="H26" s="164"/>
      <c r="I26" s="165"/>
    </row>
    <row r="27">
      <c r="A27" s="158" t="s">
        <v>47</v>
      </c>
      <c r="B27" s="159"/>
      <c r="C27" s="178"/>
      <c r="D27" s="179"/>
      <c r="E27" s="180"/>
      <c r="F27" s="163"/>
      <c r="G27" s="172"/>
      <c r="H27" s="155"/>
    </row>
    <row r="28">
      <c r="A28" s="158" t="s">
        <v>47</v>
      </c>
      <c r="B28" s="159"/>
      <c r="C28" s="178"/>
      <c r="D28" s="179"/>
      <c r="E28" s="180"/>
      <c r="F28" s="163"/>
      <c r="G28" s="172"/>
      <c r="H28" s="155"/>
    </row>
    <row r="29">
      <c r="A29" s="158" t="s">
        <v>47</v>
      </c>
      <c r="B29" s="159"/>
      <c r="C29" s="178"/>
      <c r="D29" s="179"/>
      <c r="E29" s="180"/>
      <c r="F29" s="163"/>
      <c r="G29" s="172"/>
      <c r="H29" s="155"/>
    </row>
    <row r="30">
      <c r="A30" s="158" t="s">
        <v>47</v>
      </c>
      <c r="B30" s="159"/>
      <c r="C30" s="178"/>
      <c r="D30" s="179"/>
      <c r="E30" s="180"/>
      <c r="F30" s="163"/>
      <c r="G30" s="172"/>
      <c r="H30" s="155"/>
    </row>
    <row r="31">
      <c r="A31" s="158" t="s">
        <v>47</v>
      </c>
      <c r="B31" s="159"/>
      <c r="C31" s="178"/>
      <c r="D31" s="179"/>
      <c r="E31" s="180"/>
      <c r="F31" s="163"/>
      <c r="G31" s="172"/>
      <c r="H31" s="155"/>
    </row>
    <row r="32">
      <c r="A32" s="158" t="s">
        <v>47</v>
      </c>
      <c r="B32" s="159"/>
      <c r="C32" s="178"/>
      <c r="D32" s="179"/>
      <c r="E32" s="180"/>
      <c r="F32" s="163"/>
      <c r="G32" s="172"/>
      <c r="H32" s="155"/>
    </row>
    <row r="33">
      <c r="A33" s="158" t="s">
        <v>47</v>
      </c>
      <c r="B33" s="159"/>
      <c r="C33" s="178"/>
      <c r="D33" s="179"/>
      <c r="E33" s="180"/>
      <c r="F33" s="163"/>
      <c r="G33" s="172"/>
      <c r="H33" s="155"/>
    </row>
    <row r="34">
      <c r="A34" s="158" t="s">
        <v>47</v>
      </c>
      <c r="B34" s="159"/>
      <c r="C34" s="178"/>
      <c r="D34" s="179"/>
      <c r="E34" s="180"/>
      <c r="F34" s="163"/>
      <c r="G34" s="172"/>
      <c r="H34" s="155"/>
      <c r="I34" s="141"/>
    </row>
    <row r="35">
      <c r="A35" s="158" t="s">
        <v>47</v>
      </c>
      <c r="B35" s="159"/>
      <c r="C35" s="178"/>
      <c r="D35" s="179"/>
      <c r="E35" s="180"/>
      <c r="F35" s="163"/>
      <c r="G35" s="172"/>
      <c r="H35" s="155"/>
      <c r="I35" s="141"/>
    </row>
    <row r="36">
      <c r="A36" s="158" t="s">
        <v>47</v>
      </c>
      <c r="B36" s="159"/>
      <c r="C36" s="178"/>
      <c r="D36" s="179"/>
      <c r="E36" s="180"/>
      <c r="F36" s="163"/>
      <c r="G36" s="172"/>
      <c r="H36" s="155"/>
      <c r="I36" s="181"/>
    </row>
    <row r="37">
      <c r="A37" s="158" t="s">
        <v>47</v>
      </c>
      <c r="B37" s="159"/>
      <c r="C37" s="178"/>
      <c r="D37" s="179"/>
      <c r="E37" s="180"/>
      <c r="F37" s="163"/>
      <c r="G37" s="172"/>
      <c r="H37" s="155"/>
      <c r="I37" s="181"/>
    </row>
    <row r="38">
      <c r="A38" s="158" t="s">
        <v>47</v>
      </c>
      <c r="B38" s="159"/>
      <c r="C38" s="178"/>
      <c r="D38" s="179"/>
      <c r="E38" s="180"/>
      <c r="F38" s="163"/>
      <c r="G38" s="172"/>
      <c r="H38" s="155"/>
      <c r="I38" s="181"/>
    </row>
    <row r="39">
      <c r="A39" s="158" t="s">
        <v>47</v>
      </c>
      <c r="B39" s="159"/>
      <c r="C39" s="178"/>
      <c r="D39" s="179"/>
      <c r="E39" s="180"/>
      <c r="F39" s="163"/>
      <c r="G39" s="172"/>
      <c r="H39" s="155"/>
      <c r="I39" s="181"/>
      <c r="J39" s="156"/>
      <c r="K39" s="89"/>
      <c r="L39" s="141"/>
    </row>
    <row r="40">
      <c r="A40" s="158" t="s">
        <v>47</v>
      </c>
      <c r="B40" s="159"/>
      <c r="C40" s="178"/>
      <c r="D40" s="179"/>
      <c r="E40" s="180"/>
      <c r="F40" s="163"/>
      <c r="G40" s="172"/>
      <c r="H40" s="155"/>
      <c r="I40" s="181"/>
      <c r="J40" s="156"/>
      <c r="K40" s="89"/>
      <c r="L40" s="141"/>
    </row>
    <row r="41">
      <c r="A41" s="158" t="s">
        <v>47</v>
      </c>
      <c r="B41" s="159"/>
      <c r="C41" s="178"/>
      <c r="D41" s="179"/>
      <c r="E41" s="180"/>
      <c r="F41" s="163"/>
      <c r="G41" s="172"/>
      <c r="H41" s="155"/>
      <c r="I41" s="182"/>
      <c r="J41" s="156"/>
      <c r="K41" s="141"/>
      <c r="L41" s="141"/>
    </row>
    <row r="42">
      <c r="A42" s="158" t="s">
        <v>47</v>
      </c>
      <c r="B42" s="159"/>
      <c r="C42" s="178"/>
      <c r="D42" s="179"/>
      <c r="E42" s="180"/>
      <c r="F42" s="163"/>
      <c r="G42" s="172"/>
      <c r="H42" s="155"/>
      <c r="I42" s="181"/>
      <c r="J42" s="156"/>
      <c r="K42" s="89"/>
      <c r="L42" s="141"/>
    </row>
    <row r="43">
      <c r="A43" s="183" t="s">
        <v>47</v>
      </c>
      <c r="B43" s="159"/>
      <c r="C43" s="178"/>
      <c r="D43" s="179"/>
      <c r="E43" s="180"/>
      <c r="F43" s="163"/>
      <c r="G43" s="184"/>
      <c r="H43" s="155"/>
      <c r="I43" s="185"/>
      <c r="L43" s="156"/>
    </row>
    <row r="44">
      <c r="B44" s="186"/>
      <c r="C44" s="186"/>
      <c r="D44" s="186"/>
      <c r="E44" s="186"/>
      <c r="F44" s="186"/>
      <c r="G44" s="141"/>
      <c r="H44" s="155"/>
      <c r="I44" s="185"/>
      <c r="L44" s="156"/>
    </row>
    <row r="45">
      <c r="A45" s="148" t="s">
        <v>48</v>
      </c>
      <c r="B45" s="187" t="s">
        <v>95</v>
      </c>
      <c r="C45" s="188">
        <v>43864.0</v>
      </c>
      <c r="D45" s="189" t="s">
        <v>127</v>
      </c>
      <c r="E45" s="190">
        <v>400.0</v>
      </c>
      <c r="F45" s="153" t="s">
        <v>26</v>
      </c>
      <c r="G45" s="191" t="s">
        <v>27</v>
      </c>
      <c r="H45" s="155"/>
      <c r="I45" s="185"/>
      <c r="L45" s="156"/>
    </row>
    <row r="46">
      <c r="A46" s="158" t="s">
        <v>48</v>
      </c>
      <c r="B46" s="159" t="s">
        <v>91</v>
      </c>
      <c r="C46" s="178">
        <v>43832.0</v>
      </c>
      <c r="D46" s="179" t="s">
        <v>128</v>
      </c>
      <c r="E46" s="180">
        <v>10.0</v>
      </c>
      <c r="F46" s="163" t="s">
        <v>22</v>
      </c>
      <c r="G46" s="172" t="s">
        <v>24</v>
      </c>
      <c r="H46" s="155"/>
      <c r="I46" s="192"/>
    </row>
    <row r="47">
      <c r="A47" s="158" t="s">
        <v>48</v>
      </c>
      <c r="B47" s="159" t="s">
        <v>95</v>
      </c>
      <c r="C47" s="178">
        <v>43866.0</v>
      </c>
      <c r="D47" s="179" t="s">
        <v>129</v>
      </c>
      <c r="E47" s="180">
        <v>130.0</v>
      </c>
      <c r="F47" s="163" t="s">
        <v>14</v>
      </c>
      <c r="G47" s="172" t="s">
        <v>16</v>
      </c>
      <c r="H47" s="155"/>
    </row>
    <row r="48">
      <c r="A48" s="158" t="s">
        <v>48</v>
      </c>
      <c r="B48" s="159" t="s">
        <v>99</v>
      </c>
      <c r="C48" s="178">
        <v>43866.0</v>
      </c>
      <c r="D48" s="179" t="s">
        <v>99</v>
      </c>
      <c r="E48" s="180">
        <v>0.18</v>
      </c>
      <c r="F48" s="163" t="s">
        <v>14</v>
      </c>
      <c r="G48" s="172" t="s">
        <v>16</v>
      </c>
      <c r="H48" s="155"/>
    </row>
    <row r="49">
      <c r="A49" s="158" t="s">
        <v>48</v>
      </c>
      <c r="B49" s="159" t="s">
        <v>77</v>
      </c>
      <c r="C49" s="178">
        <v>43868.0</v>
      </c>
      <c r="D49" s="179" t="s">
        <v>77</v>
      </c>
      <c r="E49" s="180">
        <v>120.0</v>
      </c>
      <c r="F49" s="163" t="s">
        <v>26</v>
      </c>
      <c r="G49" s="172" t="s">
        <v>27</v>
      </c>
      <c r="H49" s="155"/>
    </row>
    <row r="50">
      <c r="A50" s="158" t="s">
        <v>48</v>
      </c>
      <c r="B50" s="159" t="s">
        <v>99</v>
      </c>
      <c r="C50" s="178">
        <v>43870.0</v>
      </c>
      <c r="D50" s="179" t="s">
        <v>99</v>
      </c>
      <c r="E50" s="180">
        <v>0.22</v>
      </c>
      <c r="F50" s="163" t="s">
        <v>14</v>
      </c>
      <c r="G50" s="172" t="s">
        <v>16</v>
      </c>
      <c r="H50" s="155"/>
    </row>
    <row r="51">
      <c r="A51" s="158" t="s">
        <v>48</v>
      </c>
      <c r="B51" s="159" t="s">
        <v>95</v>
      </c>
      <c r="C51" s="178">
        <v>43872.0</v>
      </c>
      <c r="D51" s="179" t="s">
        <v>130</v>
      </c>
      <c r="E51" s="180">
        <v>187.5</v>
      </c>
      <c r="F51" s="163" t="s">
        <v>14</v>
      </c>
      <c r="G51" s="172" t="s">
        <v>16</v>
      </c>
      <c r="H51" s="155"/>
      <c r="J51" s="181"/>
    </row>
    <row r="52">
      <c r="A52" s="158" t="s">
        <v>48</v>
      </c>
      <c r="B52" s="159" t="s">
        <v>99</v>
      </c>
      <c r="C52" s="178">
        <v>43872.0</v>
      </c>
      <c r="D52" s="179" t="s">
        <v>99</v>
      </c>
      <c r="E52" s="180">
        <v>0.12</v>
      </c>
      <c r="F52" s="163" t="s">
        <v>14</v>
      </c>
      <c r="G52" s="172" t="s">
        <v>16</v>
      </c>
      <c r="H52" s="155"/>
    </row>
    <row r="53">
      <c r="A53" s="158" t="s">
        <v>48</v>
      </c>
      <c r="B53" s="159" t="s">
        <v>95</v>
      </c>
      <c r="C53" s="178">
        <v>43872.0</v>
      </c>
      <c r="D53" s="179" t="s">
        <v>131</v>
      </c>
      <c r="E53" s="180">
        <v>72.0</v>
      </c>
      <c r="F53" s="163" t="s">
        <v>26</v>
      </c>
      <c r="G53" s="172" t="s">
        <v>27</v>
      </c>
      <c r="H53" s="155"/>
    </row>
    <row r="54">
      <c r="A54" s="158" t="s">
        <v>48</v>
      </c>
      <c r="B54" s="159" t="s">
        <v>77</v>
      </c>
      <c r="C54" s="178">
        <v>43875.0</v>
      </c>
      <c r="D54" s="179" t="s">
        <v>77</v>
      </c>
      <c r="E54" s="180">
        <v>120.0</v>
      </c>
      <c r="F54" s="163" t="s">
        <v>26</v>
      </c>
      <c r="G54" s="172" t="s">
        <v>27</v>
      </c>
      <c r="H54" s="155"/>
    </row>
    <row r="55">
      <c r="A55" s="158" t="s">
        <v>48</v>
      </c>
      <c r="B55" s="159" t="s">
        <v>95</v>
      </c>
      <c r="C55" s="178">
        <v>43878.0</v>
      </c>
      <c r="D55" s="179" t="s">
        <v>132</v>
      </c>
      <c r="E55" s="180">
        <v>146.0</v>
      </c>
      <c r="F55" s="163" t="s">
        <v>26</v>
      </c>
      <c r="G55" s="172" t="s">
        <v>27</v>
      </c>
      <c r="H55" s="155"/>
    </row>
    <row r="56">
      <c r="A56" s="158" t="s">
        <v>48</v>
      </c>
      <c r="B56" s="159" t="s">
        <v>77</v>
      </c>
      <c r="C56" s="178">
        <v>43882.0</v>
      </c>
      <c r="D56" s="179" t="s">
        <v>77</v>
      </c>
      <c r="E56" s="180">
        <v>120.0</v>
      </c>
      <c r="F56" s="163" t="s">
        <v>26</v>
      </c>
      <c r="G56" s="172" t="s">
        <v>27</v>
      </c>
      <c r="H56" s="155"/>
    </row>
    <row r="57">
      <c r="A57" s="158" t="s">
        <v>48</v>
      </c>
      <c r="B57" s="159" t="s">
        <v>95</v>
      </c>
      <c r="C57" s="178">
        <v>43882.0</v>
      </c>
      <c r="D57" s="179" t="s">
        <v>133</v>
      </c>
      <c r="E57" s="180">
        <v>120.0</v>
      </c>
      <c r="F57" s="163" t="s">
        <v>26</v>
      </c>
      <c r="G57" s="172" t="s">
        <v>27</v>
      </c>
      <c r="H57" s="155"/>
    </row>
    <row r="58">
      <c r="A58" s="158" t="s">
        <v>48</v>
      </c>
      <c r="B58" s="159" t="s">
        <v>99</v>
      </c>
      <c r="C58" s="178">
        <v>43882.0</v>
      </c>
      <c r="D58" s="179" t="s">
        <v>134</v>
      </c>
      <c r="E58" s="180">
        <v>0.51</v>
      </c>
      <c r="F58" s="163" t="s">
        <v>14</v>
      </c>
      <c r="G58" s="172" t="s">
        <v>16</v>
      </c>
      <c r="H58" s="155"/>
    </row>
    <row r="59">
      <c r="A59" s="158" t="s">
        <v>48</v>
      </c>
      <c r="B59" s="159" t="s">
        <v>95</v>
      </c>
      <c r="C59" s="178">
        <v>43886.0</v>
      </c>
      <c r="D59" s="179" t="s">
        <v>135</v>
      </c>
      <c r="E59" s="180">
        <v>50.0</v>
      </c>
      <c r="F59" s="163" t="s">
        <v>22</v>
      </c>
      <c r="G59" s="172" t="s">
        <v>24</v>
      </c>
      <c r="H59" s="155"/>
    </row>
    <row r="60">
      <c r="A60" s="158" t="s">
        <v>48</v>
      </c>
      <c r="B60" s="159"/>
      <c r="C60" s="178"/>
      <c r="D60" s="179"/>
      <c r="E60" s="180"/>
      <c r="F60" s="163"/>
      <c r="G60" s="176"/>
      <c r="H60" s="155"/>
      <c r="I60" s="182"/>
    </row>
    <row r="61">
      <c r="A61" s="158" t="s">
        <v>48</v>
      </c>
      <c r="B61" s="159"/>
      <c r="C61" s="178"/>
      <c r="D61" s="179"/>
      <c r="E61" s="180"/>
      <c r="F61" s="163"/>
      <c r="G61" s="176"/>
      <c r="H61" s="155"/>
    </row>
    <row r="62">
      <c r="A62" s="158" t="s">
        <v>48</v>
      </c>
      <c r="B62" s="159"/>
      <c r="C62" s="178"/>
      <c r="D62" s="179"/>
      <c r="E62" s="180"/>
      <c r="F62" s="163"/>
      <c r="G62" s="176"/>
      <c r="H62" s="155"/>
    </row>
    <row r="63">
      <c r="A63" s="158" t="s">
        <v>48</v>
      </c>
      <c r="B63" s="159"/>
      <c r="C63" s="178"/>
      <c r="D63" s="179"/>
      <c r="E63" s="180"/>
      <c r="F63" s="163"/>
      <c r="G63" s="176"/>
      <c r="H63" s="155"/>
    </row>
    <row r="64">
      <c r="A64" s="158" t="s">
        <v>48</v>
      </c>
      <c r="B64" s="159"/>
      <c r="C64" s="178"/>
      <c r="D64" s="179"/>
      <c r="E64" s="180"/>
      <c r="F64" s="163"/>
      <c r="G64" s="176"/>
      <c r="H64" s="155"/>
    </row>
    <row r="65">
      <c r="A65" s="158" t="s">
        <v>48</v>
      </c>
      <c r="B65" s="159"/>
      <c r="C65" s="178"/>
      <c r="D65" s="179"/>
      <c r="E65" s="180"/>
      <c r="F65" s="163"/>
      <c r="G65" s="176"/>
      <c r="H65" s="155"/>
    </row>
    <row r="66">
      <c r="A66" s="158" t="s">
        <v>48</v>
      </c>
      <c r="B66" s="159"/>
      <c r="C66" s="178"/>
      <c r="D66" s="179"/>
      <c r="E66" s="180"/>
      <c r="F66" s="163"/>
      <c r="G66" s="176"/>
      <c r="H66" s="155"/>
    </row>
    <row r="67">
      <c r="A67" s="158" t="s">
        <v>48</v>
      </c>
      <c r="B67" s="159"/>
      <c r="C67" s="178"/>
      <c r="D67" s="179"/>
      <c r="E67" s="180"/>
      <c r="F67" s="163"/>
      <c r="G67" s="176"/>
      <c r="H67" s="155"/>
    </row>
    <row r="68">
      <c r="A68" s="158" t="s">
        <v>48</v>
      </c>
      <c r="B68" s="159"/>
      <c r="C68" s="178"/>
      <c r="D68" s="179"/>
      <c r="E68" s="180"/>
      <c r="F68" s="163"/>
      <c r="G68" s="176"/>
      <c r="H68" s="155"/>
    </row>
    <row r="69">
      <c r="A69" s="158" t="s">
        <v>48</v>
      </c>
      <c r="B69" s="159"/>
      <c r="C69" s="178"/>
      <c r="D69" s="179"/>
      <c r="E69" s="180"/>
      <c r="F69" s="163"/>
      <c r="G69" s="172"/>
      <c r="H69" s="155"/>
    </row>
    <row r="70">
      <c r="A70" s="158" t="s">
        <v>48</v>
      </c>
      <c r="B70" s="159"/>
      <c r="C70" s="178"/>
      <c r="D70" s="179"/>
      <c r="E70" s="180"/>
      <c r="F70" s="163"/>
      <c r="G70" s="172"/>
      <c r="H70" s="155"/>
    </row>
    <row r="71">
      <c r="A71" s="158" t="s">
        <v>48</v>
      </c>
      <c r="B71" s="159"/>
      <c r="C71" s="178"/>
      <c r="D71" s="179"/>
      <c r="E71" s="180"/>
      <c r="F71" s="163"/>
      <c r="G71" s="172"/>
      <c r="H71" s="155"/>
    </row>
    <row r="72">
      <c r="A72" s="158" t="s">
        <v>48</v>
      </c>
      <c r="B72" s="159"/>
      <c r="C72" s="178"/>
      <c r="D72" s="179"/>
      <c r="E72" s="180"/>
      <c r="F72" s="163"/>
      <c r="G72" s="172"/>
      <c r="H72" s="155"/>
    </row>
    <row r="73">
      <c r="A73" s="158" t="s">
        <v>48</v>
      </c>
      <c r="B73" s="159"/>
      <c r="C73" s="178"/>
      <c r="D73" s="179"/>
      <c r="E73" s="180"/>
      <c r="F73" s="163"/>
      <c r="G73" s="172"/>
      <c r="H73" s="155"/>
    </row>
    <row r="74">
      <c r="A74" s="158" t="s">
        <v>48</v>
      </c>
      <c r="B74" s="159"/>
      <c r="C74" s="178"/>
      <c r="D74" s="179"/>
      <c r="E74" s="180"/>
      <c r="F74" s="163"/>
      <c r="G74" s="172"/>
      <c r="H74" s="155"/>
    </row>
    <row r="75">
      <c r="A75" s="158" t="s">
        <v>48</v>
      </c>
      <c r="B75" s="159"/>
      <c r="C75" s="178"/>
      <c r="D75" s="179"/>
      <c r="E75" s="180"/>
      <c r="F75" s="163"/>
      <c r="G75" s="172"/>
      <c r="H75" s="155"/>
    </row>
    <row r="76">
      <c r="A76" s="158" t="s">
        <v>48</v>
      </c>
      <c r="B76" s="159"/>
      <c r="C76" s="178"/>
      <c r="D76" s="179"/>
      <c r="E76" s="180"/>
      <c r="F76" s="163"/>
      <c r="G76" s="172"/>
      <c r="H76" s="155"/>
    </row>
    <row r="77">
      <c r="A77" s="158" t="s">
        <v>48</v>
      </c>
      <c r="B77" s="159"/>
      <c r="C77" s="178"/>
      <c r="D77" s="179"/>
      <c r="E77" s="180"/>
      <c r="F77" s="163"/>
      <c r="G77" s="172"/>
      <c r="H77" s="155"/>
    </row>
    <row r="78">
      <c r="A78" s="158" t="s">
        <v>48</v>
      </c>
      <c r="B78" s="159"/>
      <c r="C78" s="178"/>
      <c r="D78" s="179"/>
      <c r="E78" s="180"/>
      <c r="F78" s="163"/>
      <c r="G78" s="172"/>
      <c r="H78" s="155"/>
    </row>
    <row r="79">
      <c r="A79" s="158" t="s">
        <v>48</v>
      </c>
      <c r="B79" s="159"/>
      <c r="C79" s="178"/>
      <c r="D79" s="179"/>
      <c r="E79" s="180"/>
      <c r="F79" s="163"/>
      <c r="G79" s="172"/>
      <c r="H79" s="155"/>
    </row>
    <row r="80">
      <c r="A80" s="158" t="s">
        <v>48</v>
      </c>
      <c r="B80" s="159"/>
      <c r="C80" s="178"/>
      <c r="D80" s="179"/>
      <c r="E80" s="180"/>
      <c r="F80" s="163"/>
      <c r="G80" s="172"/>
      <c r="H80" s="155"/>
    </row>
    <row r="81">
      <c r="A81" s="158" t="s">
        <v>48</v>
      </c>
      <c r="B81" s="159"/>
      <c r="C81" s="178"/>
      <c r="D81" s="179"/>
      <c r="E81" s="180"/>
      <c r="F81" s="163"/>
      <c r="G81" s="172"/>
      <c r="H81" s="155"/>
    </row>
    <row r="82">
      <c r="A82" s="158" t="s">
        <v>48</v>
      </c>
      <c r="B82" s="159"/>
      <c r="C82" s="178"/>
      <c r="D82" s="179"/>
      <c r="E82" s="180"/>
      <c r="F82" s="163"/>
      <c r="G82" s="172"/>
      <c r="H82" s="155"/>
    </row>
    <row r="83">
      <c r="A83" s="158" t="s">
        <v>48</v>
      </c>
      <c r="B83" s="159"/>
      <c r="C83" s="178"/>
      <c r="D83" s="179"/>
      <c r="E83" s="180"/>
      <c r="F83" s="163"/>
      <c r="G83" s="172"/>
      <c r="H83" s="155"/>
    </row>
    <row r="84">
      <c r="A84" s="158" t="s">
        <v>48</v>
      </c>
      <c r="B84" s="159"/>
      <c r="C84" s="178"/>
      <c r="D84" s="179"/>
      <c r="E84" s="180"/>
      <c r="F84" s="163"/>
      <c r="G84" s="172"/>
      <c r="H84" s="155"/>
    </row>
    <row r="85">
      <c r="A85" s="183" t="s">
        <v>48</v>
      </c>
      <c r="B85" s="193"/>
      <c r="C85" s="194"/>
      <c r="D85" s="195"/>
      <c r="E85" s="196"/>
      <c r="F85" s="197"/>
      <c r="G85" s="184"/>
      <c r="H85" s="155"/>
    </row>
    <row r="86">
      <c r="B86" s="198"/>
      <c r="C86" s="199"/>
      <c r="D86" s="200"/>
      <c r="E86" s="201"/>
      <c r="F86" s="141"/>
      <c r="G86" s="141"/>
      <c r="H86" s="155"/>
    </row>
    <row r="87">
      <c r="A87" s="148" t="s">
        <v>49</v>
      </c>
      <c r="B87" s="187" t="s">
        <v>77</v>
      </c>
      <c r="C87" s="188">
        <v>43892.0</v>
      </c>
      <c r="D87" s="189" t="s">
        <v>77</v>
      </c>
      <c r="E87" s="202">
        <v>120.0</v>
      </c>
      <c r="F87" s="153" t="s">
        <v>26</v>
      </c>
      <c r="G87" s="191" t="s">
        <v>27</v>
      </c>
      <c r="H87" s="155"/>
      <c r="N87" s="182"/>
    </row>
    <row r="88">
      <c r="A88" s="158" t="s">
        <v>49</v>
      </c>
      <c r="B88" s="159" t="s">
        <v>99</v>
      </c>
      <c r="C88" s="178">
        <v>43892.0</v>
      </c>
      <c r="D88" s="179" t="s">
        <v>99</v>
      </c>
      <c r="E88" s="180">
        <v>0.22</v>
      </c>
      <c r="F88" s="163" t="s">
        <v>14</v>
      </c>
      <c r="G88" s="172" t="s">
        <v>16</v>
      </c>
      <c r="H88" s="155"/>
      <c r="N88" s="182"/>
    </row>
    <row r="89">
      <c r="A89" s="158" t="s">
        <v>49</v>
      </c>
      <c r="B89" s="159" t="s">
        <v>95</v>
      </c>
      <c r="C89" s="178">
        <v>43894.0</v>
      </c>
      <c r="D89" s="179" t="s">
        <v>136</v>
      </c>
      <c r="E89" s="180">
        <v>400.0</v>
      </c>
      <c r="F89" s="163" t="s">
        <v>26</v>
      </c>
      <c r="G89" s="172" t="s">
        <v>27</v>
      </c>
      <c r="H89" s="155"/>
      <c r="N89" s="182"/>
    </row>
    <row r="90">
      <c r="A90" s="158" t="s">
        <v>49</v>
      </c>
      <c r="B90" s="159" t="s">
        <v>99</v>
      </c>
      <c r="C90" s="178">
        <v>43895.0</v>
      </c>
      <c r="D90" s="179" t="s">
        <v>99</v>
      </c>
      <c r="E90" s="180">
        <v>0.27</v>
      </c>
      <c r="F90" s="163" t="s">
        <v>14</v>
      </c>
      <c r="G90" s="172" t="s">
        <v>16</v>
      </c>
      <c r="H90" s="155"/>
      <c r="N90" s="192"/>
      <c r="O90" s="141"/>
      <c r="P90" s="141"/>
      <c r="Q90" s="168"/>
      <c r="R90" s="168"/>
    </row>
    <row r="91">
      <c r="A91" s="158" t="s">
        <v>49</v>
      </c>
      <c r="B91" s="159" t="s">
        <v>77</v>
      </c>
      <c r="C91" s="178">
        <v>43896.0</v>
      </c>
      <c r="D91" s="179" t="s">
        <v>77</v>
      </c>
      <c r="E91" s="180">
        <v>120.0</v>
      </c>
      <c r="F91" s="163" t="s">
        <v>26</v>
      </c>
      <c r="G91" s="172" t="s">
        <v>27</v>
      </c>
      <c r="H91" s="155"/>
      <c r="N91" s="192"/>
      <c r="O91" s="141"/>
      <c r="P91" s="141"/>
      <c r="Q91" s="168"/>
      <c r="R91" s="168"/>
    </row>
    <row r="92">
      <c r="A92" s="158" t="s">
        <v>49</v>
      </c>
      <c r="B92" s="159" t="s">
        <v>99</v>
      </c>
      <c r="C92" s="178">
        <v>43896.0</v>
      </c>
      <c r="D92" s="179" t="s">
        <v>99</v>
      </c>
      <c r="E92" s="180">
        <v>0.15</v>
      </c>
      <c r="F92" s="163" t="s">
        <v>14</v>
      </c>
      <c r="G92" s="172" t="s">
        <v>16</v>
      </c>
      <c r="H92" s="155"/>
      <c r="N92" s="203"/>
      <c r="Q92" s="156"/>
    </row>
    <row r="93">
      <c r="A93" s="158" t="s">
        <v>49</v>
      </c>
      <c r="B93" s="159" t="s">
        <v>99</v>
      </c>
      <c r="C93" s="178">
        <v>43900.0</v>
      </c>
      <c r="D93" s="179" t="s">
        <v>99</v>
      </c>
      <c r="E93" s="180">
        <v>0.08</v>
      </c>
      <c r="F93" s="163" t="s">
        <v>14</v>
      </c>
      <c r="G93" s="172" t="s">
        <v>16</v>
      </c>
      <c r="H93" s="155"/>
      <c r="N93" s="182"/>
    </row>
    <row r="94">
      <c r="A94" s="158" t="s">
        <v>49</v>
      </c>
      <c r="B94" s="159" t="s">
        <v>95</v>
      </c>
      <c r="C94" s="178">
        <v>43902.0</v>
      </c>
      <c r="D94" s="179" t="s">
        <v>137</v>
      </c>
      <c r="E94" s="180">
        <v>400.0</v>
      </c>
      <c r="F94" s="163" t="s">
        <v>26</v>
      </c>
      <c r="G94" s="172" t="s">
        <v>27</v>
      </c>
      <c r="H94" s="155"/>
      <c r="N94" s="182"/>
    </row>
    <row r="95">
      <c r="A95" s="158" t="s">
        <v>49</v>
      </c>
      <c r="B95" s="159" t="s">
        <v>77</v>
      </c>
      <c r="C95" s="178">
        <v>43904.0</v>
      </c>
      <c r="D95" s="179" t="s">
        <v>77</v>
      </c>
      <c r="E95" s="180">
        <v>150.0</v>
      </c>
      <c r="F95" s="163" t="s">
        <v>22</v>
      </c>
      <c r="G95" s="172" t="s">
        <v>24</v>
      </c>
      <c r="H95" s="155"/>
      <c r="N95" s="182"/>
    </row>
    <row r="96">
      <c r="A96" s="158" t="s">
        <v>49</v>
      </c>
      <c r="B96" s="159" t="s">
        <v>77</v>
      </c>
      <c r="C96" s="178">
        <v>43910.0</v>
      </c>
      <c r="D96" s="179" t="s">
        <v>77</v>
      </c>
      <c r="E96" s="180">
        <v>120.0</v>
      </c>
      <c r="F96" s="163" t="s">
        <v>26</v>
      </c>
      <c r="G96" s="172" t="s">
        <v>27</v>
      </c>
      <c r="H96" s="155"/>
      <c r="J96" s="182"/>
    </row>
    <row r="97">
      <c r="A97" s="158" t="s">
        <v>49</v>
      </c>
      <c r="B97" s="159" t="s">
        <v>99</v>
      </c>
      <c r="C97" s="178">
        <v>43910.0</v>
      </c>
      <c r="D97" s="179" t="s">
        <v>99</v>
      </c>
      <c r="E97" s="180">
        <v>0.11</v>
      </c>
      <c r="F97" s="163" t="s">
        <v>14</v>
      </c>
      <c r="G97" s="172" t="s">
        <v>16</v>
      </c>
      <c r="H97" s="155"/>
      <c r="J97" s="182"/>
    </row>
    <row r="98">
      <c r="A98" s="158" t="s">
        <v>49</v>
      </c>
      <c r="B98" s="159" t="s">
        <v>95</v>
      </c>
      <c r="C98" s="178">
        <v>43910.0</v>
      </c>
      <c r="D98" s="179" t="s">
        <v>138</v>
      </c>
      <c r="E98" s="180">
        <v>50.0</v>
      </c>
      <c r="F98" s="163" t="s">
        <v>22</v>
      </c>
      <c r="G98" s="172" t="s">
        <v>24</v>
      </c>
      <c r="H98" s="155"/>
    </row>
    <row r="99">
      <c r="A99" s="158" t="s">
        <v>49</v>
      </c>
      <c r="B99" s="159" t="s">
        <v>77</v>
      </c>
      <c r="C99" s="178">
        <v>43920.0</v>
      </c>
      <c r="D99" s="179" t="s">
        <v>77</v>
      </c>
      <c r="E99" s="180">
        <v>120.0</v>
      </c>
      <c r="F99" s="163" t="s">
        <v>26</v>
      </c>
      <c r="G99" s="172" t="s">
        <v>27</v>
      </c>
      <c r="H99" s="155"/>
    </row>
    <row r="100">
      <c r="A100" s="158" t="s">
        <v>49</v>
      </c>
      <c r="B100" s="159"/>
      <c r="C100" s="178"/>
      <c r="D100" s="179"/>
      <c r="E100" s="180"/>
      <c r="F100" s="163"/>
      <c r="G100" s="176"/>
      <c r="H100" s="155"/>
    </row>
    <row r="101">
      <c r="A101" s="158" t="s">
        <v>49</v>
      </c>
      <c r="B101" s="159"/>
      <c r="C101" s="178"/>
      <c r="D101" s="179"/>
      <c r="E101" s="180"/>
      <c r="F101" s="163"/>
      <c r="G101" s="176"/>
      <c r="H101" s="155"/>
    </row>
    <row r="102">
      <c r="A102" s="158" t="s">
        <v>49</v>
      </c>
      <c r="B102" s="159"/>
      <c r="C102" s="178"/>
      <c r="D102" s="179"/>
      <c r="E102" s="180"/>
      <c r="F102" s="163"/>
      <c r="G102" s="176"/>
      <c r="H102" s="155"/>
    </row>
    <row r="103">
      <c r="A103" s="158" t="s">
        <v>49</v>
      </c>
      <c r="B103" s="159"/>
      <c r="C103" s="178"/>
      <c r="D103" s="179"/>
      <c r="E103" s="180"/>
      <c r="F103" s="163"/>
      <c r="G103" s="176"/>
      <c r="H103" s="155"/>
    </row>
    <row r="104">
      <c r="A104" s="158" t="s">
        <v>49</v>
      </c>
      <c r="B104" s="159"/>
      <c r="C104" s="178"/>
      <c r="D104" s="179"/>
      <c r="E104" s="180"/>
      <c r="F104" s="163"/>
      <c r="G104" s="176"/>
      <c r="H104" s="155"/>
    </row>
    <row r="105">
      <c r="A105" s="158" t="s">
        <v>49</v>
      </c>
      <c r="B105" s="159"/>
      <c r="C105" s="178"/>
      <c r="D105" s="179"/>
      <c r="E105" s="180"/>
      <c r="F105" s="163"/>
      <c r="G105" s="176"/>
      <c r="H105" s="155"/>
    </row>
    <row r="106">
      <c r="A106" s="158" t="s">
        <v>49</v>
      </c>
      <c r="B106" s="159"/>
      <c r="C106" s="178"/>
      <c r="D106" s="179"/>
      <c r="E106" s="180"/>
      <c r="F106" s="163"/>
      <c r="G106" s="176"/>
      <c r="H106" s="155"/>
    </row>
    <row r="107">
      <c r="A107" s="158" t="s">
        <v>49</v>
      </c>
      <c r="B107" s="159"/>
      <c r="C107" s="178"/>
      <c r="D107" s="179"/>
      <c r="E107" s="180"/>
      <c r="F107" s="163"/>
      <c r="G107" s="176"/>
      <c r="H107" s="155"/>
    </row>
    <row r="108">
      <c r="A108" s="158" t="s">
        <v>49</v>
      </c>
      <c r="B108" s="159"/>
      <c r="C108" s="178"/>
      <c r="D108" s="179"/>
      <c r="E108" s="180"/>
      <c r="F108" s="163"/>
      <c r="G108" s="176"/>
      <c r="H108" s="155"/>
    </row>
    <row r="109">
      <c r="A109" s="158" t="s">
        <v>49</v>
      </c>
      <c r="B109" s="159"/>
      <c r="C109" s="178"/>
      <c r="D109" s="179"/>
      <c r="E109" s="180"/>
      <c r="F109" s="163"/>
      <c r="G109" s="176"/>
      <c r="H109" s="155"/>
    </row>
    <row r="110">
      <c r="A110" s="158" t="s">
        <v>49</v>
      </c>
      <c r="B110" s="159"/>
      <c r="C110" s="178"/>
      <c r="D110" s="179"/>
      <c r="E110" s="180"/>
      <c r="F110" s="163"/>
      <c r="G110" s="176"/>
      <c r="H110" s="155"/>
    </row>
    <row r="111">
      <c r="A111" s="158" t="s">
        <v>49</v>
      </c>
      <c r="B111" s="159"/>
      <c r="C111" s="178"/>
      <c r="D111" s="179"/>
      <c r="E111" s="180"/>
      <c r="F111" s="163"/>
      <c r="G111" s="172"/>
      <c r="H111" s="155"/>
    </row>
    <row r="112">
      <c r="A112" s="158" t="s">
        <v>49</v>
      </c>
      <c r="B112" s="159"/>
      <c r="C112" s="178"/>
      <c r="D112" s="179"/>
      <c r="E112" s="180"/>
      <c r="F112" s="163"/>
      <c r="G112" s="172"/>
      <c r="H112" s="155"/>
    </row>
    <row r="113">
      <c r="A113" s="158" t="s">
        <v>49</v>
      </c>
      <c r="B113" s="159"/>
      <c r="C113" s="178"/>
      <c r="D113" s="179"/>
      <c r="E113" s="180"/>
      <c r="F113" s="163"/>
      <c r="G113" s="172"/>
      <c r="H113" s="155"/>
    </row>
    <row r="114">
      <c r="A114" s="158" t="s">
        <v>49</v>
      </c>
      <c r="B114" s="159"/>
      <c r="C114" s="178"/>
      <c r="D114" s="179"/>
      <c r="E114" s="180"/>
      <c r="F114" s="163"/>
      <c r="G114" s="172"/>
      <c r="H114" s="155"/>
    </row>
    <row r="115">
      <c r="A115" s="158" t="s">
        <v>49</v>
      </c>
      <c r="B115" s="159"/>
      <c r="C115" s="178"/>
      <c r="D115" s="179"/>
      <c r="E115" s="180"/>
      <c r="F115" s="163"/>
      <c r="G115" s="172"/>
      <c r="H115" s="155"/>
    </row>
    <row r="116">
      <c r="A116" s="158" t="s">
        <v>49</v>
      </c>
      <c r="B116" s="159"/>
      <c r="C116" s="178"/>
      <c r="D116" s="179"/>
      <c r="E116" s="180"/>
      <c r="F116" s="163"/>
      <c r="G116" s="172"/>
      <c r="H116" s="155"/>
    </row>
    <row r="117">
      <c r="A117" s="158" t="s">
        <v>49</v>
      </c>
      <c r="B117" s="159"/>
      <c r="C117" s="178"/>
      <c r="D117" s="179"/>
      <c r="E117" s="180"/>
      <c r="F117" s="163"/>
      <c r="G117" s="172"/>
      <c r="H117" s="155"/>
    </row>
    <row r="118">
      <c r="A118" s="158" t="s">
        <v>49</v>
      </c>
      <c r="B118" s="159"/>
      <c r="C118" s="178"/>
      <c r="D118" s="179"/>
      <c r="E118" s="180"/>
      <c r="F118" s="163"/>
      <c r="G118" s="172"/>
      <c r="H118" s="155"/>
    </row>
    <row r="119">
      <c r="A119" s="158" t="s">
        <v>49</v>
      </c>
      <c r="B119" s="159"/>
      <c r="C119" s="178"/>
      <c r="D119" s="179"/>
      <c r="E119" s="180"/>
      <c r="F119" s="163"/>
      <c r="G119" s="172"/>
      <c r="H119" s="155"/>
    </row>
    <row r="120">
      <c r="A120" s="158" t="s">
        <v>49</v>
      </c>
      <c r="B120" s="159"/>
      <c r="C120" s="178"/>
      <c r="D120" s="179"/>
      <c r="E120" s="180"/>
      <c r="F120" s="163"/>
      <c r="G120" s="172"/>
      <c r="H120" s="155"/>
    </row>
    <row r="121">
      <c r="A121" s="158" t="s">
        <v>49</v>
      </c>
      <c r="B121" s="159"/>
      <c r="C121" s="178"/>
      <c r="D121" s="179"/>
      <c r="E121" s="180"/>
      <c r="F121" s="163"/>
      <c r="G121" s="172"/>
      <c r="H121" s="155"/>
    </row>
    <row r="122">
      <c r="A122" s="158" t="s">
        <v>49</v>
      </c>
      <c r="B122" s="159"/>
      <c r="C122" s="178"/>
      <c r="D122" s="179"/>
      <c r="E122" s="180"/>
      <c r="F122" s="163"/>
      <c r="G122" s="172"/>
      <c r="H122" s="155"/>
    </row>
    <row r="123">
      <c r="A123" s="158" t="s">
        <v>49</v>
      </c>
      <c r="B123" s="159"/>
      <c r="C123" s="178"/>
      <c r="D123" s="179"/>
      <c r="E123" s="180"/>
      <c r="F123" s="163"/>
      <c r="G123" s="172"/>
      <c r="H123" s="155"/>
    </row>
    <row r="124">
      <c r="A124" s="158" t="s">
        <v>49</v>
      </c>
      <c r="B124" s="159"/>
      <c r="C124" s="178"/>
      <c r="D124" s="179"/>
      <c r="E124" s="180"/>
      <c r="F124" s="163"/>
      <c r="G124" s="172"/>
      <c r="H124" s="155"/>
    </row>
    <row r="125">
      <c r="A125" s="158" t="s">
        <v>49</v>
      </c>
      <c r="B125" s="159"/>
      <c r="C125" s="178"/>
      <c r="D125" s="179"/>
      <c r="E125" s="180"/>
      <c r="F125" s="163"/>
      <c r="G125" s="172"/>
      <c r="H125" s="155"/>
    </row>
    <row r="126">
      <c r="A126" s="158" t="s">
        <v>49</v>
      </c>
      <c r="B126" s="159"/>
      <c r="C126" s="178"/>
      <c r="D126" s="179"/>
      <c r="E126" s="180"/>
      <c r="F126" s="163"/>
      <c r="G126" s="172"/>
      <c r="H126" s="155"/>
    </row>
    <row r="127">
      <c r="A127" s="183" t="s">
        <v>49</v>
      </c>
      <c r="B127" s="193"/>
      <c r="C127" s="194"/>
      <c r="D127" s="195"/>
      <c r="E127" s="196"/>
      <c r="F127" s="197"/>
      <c r="G127" s="184"/>
      <c r="H127" s="155"/>
    </row>
    <row r="128">
      <c r="B128" s="198"/>
      <c r="C128" s="199"/>
      <c r="D128" s="200"/>
      <c r="E128" s="201"/>
      <c r="F128" s="141"/>
      <c r="G128" s="141"/>
      <c r="H128" s="155"/>
    </row>
    <row r="129">
      <c r="A129" s="148" t="s">
        <v>50</v>
      </c>
      <c r="B129" s="187" t="s">
        <v>77</v>
      </c>
      <c r="C129" s="188">
        <v>43927.0</v>
      </c>
      <c r="D129" s="189" t="s">
        <v>77</v>
      </c>
      <c r="E129" s="202">
        <v>120.0</v>
      </c>
      <c r="F129" s="153" t="s">
        <v>26</v>
      </c>
      <c r="G129" s="191" t="s">
        <v>27</v>
      </c>
      <c r="H129" s="155"/>
    </row>
    <row r="130">
      <c r="A130" s="158" t="s">
        <v>50</v>
      </c>
      <c r="B130" s="159" t="s">
        <v>99</v>
      </c>
      <c r="C130" s="178">
        <v>43927.0</v>
      </c>
      <c r="D130" s="179" t="s">
        <v>99</v>
      </c>
      <c r="E130" s="204">
        <v>0.21</v>
      </c>
      <c r="F130" s="163" t="s">
        <v>14</v>
      </c>
      <c r="G130" s="172" t="s">
        <v>16</v>
      </c>
      <c r="H130" s="155"/>
    </row>
    <row r="131">
      <c r="A131" s="158" t="s">
        <v>50</v>
      </c>
      <c r="B131" s="159" t="s">
        <v>91</v>
      </c>
      <c r="C131" s="178">
        <v>43931.0</v>
      </c>
      <c r="D131" s="179" t="s">
        <v>139</v>
      </c>
      <c r="E131" s="204">
        <v>60.0</v>
      </c>
      <c r="F131" s="163" t="s">
        <v>26</v>
      </c>
      <c r="G131" s="172" t="s">
        <v>27</v>
      </c>
      <c r="H131" s="155"/>
    </row>
    <row r="132">
      <c r="A132" s="158" t="s">
        <v>50</v>
      </c>
      <c r="B132" s="159" t="s">
        <v>77</v>
      </c>
      <c r="C132" s="178">
        <v>43934.0</v>
      </c>
      <c r="D132" s="179" t="s">
        <v>77</v>
      </c>
      <c r="E132" s="204">
        <v>120.0</v>
      </c>
      <c r="F132" s="163" t="s">
        <v>26</v>
      </c>
      <c r="G132" s="172" t="s">
        <v>27</v>
      </c>
      <c r="H132" s="155"/>
    </row>
    <row r="133">
      <c r="A133" s="158" t="s">
        <v>50</v>
      </c>
      <c r="B133" s="159" t="s">
        <v>77</v>
      </c>
      <c r="C133" s="178">
        <v>43940.0</v>
      </c>
      <c r="D133" s="179" t="s">
        <v>77</v>
      </c>
      <c r="E133" s="204">
        <v>120.0</v>
      </c>
      <c r="F133" s="163" t="s">
        <v>22</v>
      </c>
      <c r="G133" s="172" t="s">
        <v>24</v>
      </c>
      <c r="H133" s="155"/>
    </row>
    <row r="134">
      <c r="A134" s="158" t="s">
        <v>50</v>
      </c>
      <c r="B134" s="159" t="s">
        <v>91</v>
      </c>
      <c r="C134" s="178">
        <v>43944.0</v>
      </c>
      <c r="D134" s="179" t="s">
        <v>140</v>
      </c>
      <c r="E134" s="204">
        <v>50.0</v>
      </c>
      <c r="F134" s="163" t="s">
        <v>22</v>
      </c>
      <c r="G134" s="172" t="s">
        <v>24</v>
      </c>
      <c r="H134" s="155"/>
    </row>
    <row r="135">
      <c r="A135" s="158" t="s">
        <v>50</v>
      </c>
      <c r="B135" s="159" t="s">
        <v>77</v>
      </c>
      <c r="C135" s="178">
        <v>43946.0</v>
      </c>
      <c r="D135" s="179" t="s">
        <v>77</v>
      </c>
      <c r="E135" s="204">
        <v>150.0</v>
      </c>
      <c r="F135" s="163" t="s">
        <v>26</v>
      </c>
      <c r="G135" s="172" t="s">
        <v>27</v>
      </c>
      <c r="H135" s="155"/>
    </row>
    <row r="136">
      <c r="A136" s="158" t="s">
        <v>50</v>
      </c>
      <c r="B136" s="159" t="s">
        <v>99</v>
      </c>
      <c r="C136" s="178">
        <v>43946.0</v>
      </c>
      <c r="D136" s="179" t="s">
        <v>141</v>
      </c>
      <c r="E136" s="204">
        <v>0.04</v>
      </c>
      <c r="F136" s="163" t="s">
        <v>14</v>
      </c>
      <c r="G136" s="172" t="s">
        <v>16</v>
      </c>
      <c r="H136" s="155"/>
    </row>
    <row r="137">
      <c r="A137" s="158" t="s">
        <v>50</v>
      </c>
      <c r="B137" s="159" t="s">
        <v>95</v>
      </c>
      <c r="C137" s="178">
        <v>43927.0</v>
      </c>
      <c r="D137" s="179" t="s">
        <v>142</v>
      </c>
      <c r="E137" s="204">
        <v>90.0</v>
      </c>
      <c r="F137" s="163" t="s">
        <v>26</v>
      </c>
      <c r="G137" s="172" t="s">
        <v>27</v>
      </c>
      <c r="H137" s="155"/>
    </row>
    <row r="138">
      <c r="A138" s="158" t="s">
        <v>50</v>
      </c>
      <c r="B138" s="159"/>
      <c r="C138" s="178"/>
      <c r="D138" s="179"/>
      <c r="E138" s="180"/>
      <c r="F138" s="163"/>
      <c r="G138" s="172"/>
      <c r="H138" s="155"/>
    </row>
    <row r="139">
      <c r="A139" s="158" t="s">
        <v>50</v>
      </c>
      <c r="B139" s="159"/>
      <c r="C139" s="178"/>
      <c r="D139" s="179"/>
      <c r="E139" s="180"/>
      <c r="F139" s="163"/>
      <c r="G139" s="172"/>
      <c r="H139" s="155"/>
    </row>
    <row r="140">
      <c r="A140" s="158" t="s">
        <v>50</v>
      </c>
      <c r="B140" s="159"/>
      <c r="C140" s="178"/>
      <c r="D140" s="179"/>
      <c r="E140" s="180"/>
      <c r="F140" s="163"/>
      <c r="G140" s="176"/>
      <c r="H140" s="155"/>
    </row>
    <row r="141">
      <c r="A141" s="158" t="s">
        <v>50</v>
      </c>
      <c r="B141" s="159"/>
      <c r="C141" s="178"/>
      <c r="D141" s="179"/>
      <c r="E141" s="180"/>
      <c r="F141" s="163"/>
      <c r="G141" s="176"/>
      <c r="H141" s="155"/>
    </row>
    <row r="142">
      <c r="A142" s="158" t="s">
        <v>50</v>
      </c>
      <c r="B142" s="159"/>
      <c r="C142" s="178"/>
      <c r="D142" s="179"/>
      <c r="E142" s="180"/>
      <c r="F142" s="163"/>
      <c r="G142" s="176"/>
      <c r="H142" s="155"/>
    </row>
    <row r="143">
      <c r="A143" s="158" t="s">
        <v>50</v>
      </c>
      <c r="B143" s="159"/>
      <c r="C143" s="178"/>
      <c r="D143" s="179"/>
      <c r="E143" s="180"/>
      <c r="F143" s="163"/>
      <c r="G143" s="176"/>
      <c r="H143" s="155"/>
    </row>
    <row r="144">
      <c r="A144" s="158" t="s">
        <v>50</v>
      </c>
      <c r="B144" s="159"/>
      <c r="C144" s="178"/>
      <c r="D144" s="179"/>
      <c r="E144" s="180"/>
      <c r="F144" s="163"/>
      <c r="G144" s="176"/>
      <c r="H144" s="155"/>
    </row>
    <row r="145">
      <c r="A145" s="158" t="s">
        <v>50</v>
      </c>
      <c r="B145" s="159"/>
      <c r="C145" s="178"/>
      <c r="D145" s="179"/>
      <c r="E145" s="180"/>
      <c r="F145" s="163"/>
      <c r="G145" s="176"/>
      <c r="H145" s="155"/>
    </row>
    <row r="146">
      <c r="A146" s="158" t="s">
        <v>50</v>
      </c>
      <c r="B146" s="159"/>
      <c r="C146" s="178"/>
      <c r="D146" s="179"/>
      <c r="E146" s="180"/>
      <c r="F146" s="163"/>
      <c r="G146" s="176"/>
      <c r="H146" s="155"/>
    </row>
    <row r="147">
      <c r="A147" s="158" t="s">
        <v>50</v>
      </c>
      <c r="B147" s="159"/>
      <c r="C147" s="178"/>
      <c r="D147" s="179"/>
      <c r="E147" s="180"/>
      <c r="F147" s="163"/>
      <c r="G147" s="176"/>
      <c r="H147" s="155"/>
    </row>
    <row r="148">
      <c r="A148" s="158" t="s">
        <v>50</v>
      </c>
      <c r="B148" s="159"/>
      <c r="C148" s="178"/>
      <c r="D148" s="179"/>
      <c r="E148" s="180"/>
      <c r="F148" s="163"/>
      <c r="G148" s="176"/>
      <c r="H148" s="155"/>
    </row>
    <row r="149">
      <c r="A149" s="158" t="s">
        <v>50</v>
      </c>
      <c r="B149" s="159"/>
      <c r="C149" s="178"/>
      <c r="D149" s="179"/>
      <c r="E149" s="180"/>
      <c r="F149" s="163"/>
      <c r="G149" s="176"/>
      <c r="H149" s="155"/>
    </row>
    <row r="150">
      <c r="A150" s="158" t="s">
        <v>50</v>
      </c>
      <c r="B150" s="159"/>
      <c r="C150" s="178"/>
      <c r="D150" s="179"/>
      <c r="E150" s="180"/>
      <c r="F150" s="163"/>
      <c r="G150" s="176"/>
      <c r="H150" s="155"/>
    </row>
    <row r="151">
      <c r="A151" s="158" t="s">
        <v>50</v>
      </c>
      <c r="B151" s="159"/>
      <c r="C151" s="178"/>
      <c r="D151" s="179"/>
      <c r="E151" s="180"/>
      <c r="F151" s="163"/>
      <c r="G151" s="176"/>
      <c r="H151" s="155"/>
    </row>
    <row r="152">
      <c r="A152" s="158" t="s">
        <v>50</v>
      </c>
      <c r="B152" s="159"/>
      <c r="C152" s="178"/>
      <c r="D152" s="179"/>
      <c r="E152" s="180"/>
      <c r="F152" s="163"/>
      <c r="G152" s="176"/>
      <c r="H152" s="155"/>
    </row>
    <row r="153">
      <c r="A153" s="158" t="s">
        <v>50</v>
      </c>
      <c r="B153" s="159"/>
      <c r="C153" s="178"/>
      <c r="D153" s="179"/>
      <c r="E153" s="180"/>
      <c r="F153" s="163"/>
      <c r="G153" s="172"/>
      <c r="H153" s="155"/>
    </row>
    <row r="154">
      <c r="A154" s="158" t="s">
        <v>50</v>
      </c>
      <c r="B154" s="159"/>
      <c r="C154" s="178"/>
      <c r="D154" s="179"/>
      <c r="E154" s="180"/>
      <c r="F154" s="163"/>
      <c r="G154" s="172"/>
      <c r="H154" s="155"/>
    </row>
    <row r="155">
      <c r="A155" s="158" t="s">
        <v>50</v>
      </c>
      <c r="B155" s="159"/>
      <c r="C155" s="178"/>
      <c r="D155" s="179"/>
      <c r="E155" s="180"/>
      <c r="F155" s="163"/>
      <c r="G155" s="172"/>
      <c r="H155" s="155"/>
    </row>
    <row r="156">
      <c r="A156" s="158" t="s">
        <v>50</v>
      </c>
      <c r="B156" s="159"/>
      <c r="C156" s="178"/>
      <c r="D156" s="179"/>
      <c r="E156" s="180"/>
      <c r="F156" s="163"/>
      <c r="G156" s="172"/>
      <c r="H156" s="155"/>
    </row>
    <row r="157">
      <c r="A157" s="158" t="s">
        <v>50</v>
      </c>
      <c r="B157" s="159"/>
      <c r="C157" s="178"/>
      <c r="D157" s="179"/>
      <c r="E157" s="180"/>
      <c r="F157" s="163"/>
      <c r="G157" s="172"/>
      <c r="H157" s="155"/>
    </row>
    <row r="158">
      <c r="A158" s="158" t="s">
        <v>50</v>
      </c>
      <c r="B158" s="159"/>
      <c r="C158" s="178"/>
      <c r="D158" s="179"/>
      <c r="E158" s="180"/>
      <c r="F158" s="163"/>
      <c r="G158" s="172"/>
      <c r="H158" s="155"/>
    </row>
    <row r="159">
      <c r="A159" s="158" t="s">
        <v>50</v>
      </c>
      <c r="B159" s="159"/>
      <c r="C159" s="178"/>
      <c r="D159" s="179"/>
      <c r="E159" s="180"/>
      <c r="F159" s="163"/>
      <c r="G159" s="172"/>
      <c r="H159" s="155"/>
    </row>
    <row r="160">
      <c r="A160" s="158" t="s">
        <v>50</v>
      </c>
      <c r="B160" s="159"/>
      <c r="C160" s="178"/>
      <c r="D160" s="179"/>
      <c r="E160" s="180"/>
      <c r="F160" s="163"/>
      <c r="G160" s="172"/>
      <c r="H160" s="155"/>
    </row>
    <row r="161">
      <c r="A161" s="158" t="s">
        <v>50</v>
      </c>
      <c r="B161" s="159"/>
      <c r="C161" s="178"/>
      <c r="D161" s="179"/>
      <c r="E161" s="180"/>
      <c r="F161" s="163"/>
      <c r="G161" s="172"/>
      <c r="H161" s="155"/>
    </row>
    <row r="162">
      <c r="A162" s="158" t="s">
        <v>50</v>
      </c>
      <c r="B162" s="159"/>
      <c r="C162" s="178"/>
      <c r="D162" s="179"/>
      <c r="E162" s="180"/>
      <c r="F162" s="163"/>
      <c r="G162" s="172"/>
      <c r="H162" s="155"/>
    </row>
    <row r="163">
      <c r="A163" s="158" t="s">
        <v>50</v>
      </c>
      <c r="B163" s="159"/>
      <c r="C163" s="178"/>
      <c r="D163" s="179"/>
      <c r="E163" s="180"/>
      <c r="F163" s="163"/>
      <c r="G163" s="172"/>
      <c r="H163" s="155"/>
    </row>
    <row r="164">
      <c r="A164" s="158" t="s">
        <v>50</v>
      </c>
      <c r="B164" s="159"/>
      <c r="C164" s="178"/>
      <c r="D164" s="179"/>
      <c r="E164" s="180"/>
      <c r="F164" s="163"/>
      <c r="G164" s="172"/>
      <c r="H164" s="155"/>
    </row>
    <row r="165">
      <c r="A165" s="158" t="s">
        <v>50</v>
      </c>
      <c r="B165" s="159"/>
      <c r="C165" s="178"/>
      <c r="D165" s="179"/>
      <c r="E165" s="180"/>
      <c r="F165" s="163"/>
      <c r="G165" s="172"/>
      <c r="H165" s="155"/>
    </row>
    <row r="166">
      <c r="A166" s="158" t="s">
        <v>50</v>
      </c>
      <c r="B166" s="159"/>
      <c r="C166" s="178"/>
      <c r="D166" s="179"/>
      <c r="E166" s="180"/>
      <c r="F166" s="163"/>
      <c r="G166" s="172"/>
      <c r="H166" s="155"/>
    </row>
    <row r="167">
      <c r="A167" s="158" t="s">
        <v>50</v>
      </c>
      <c r="B167" s="159"/>
      <c r="C167" s="178"/>
      <c r="D167" s="179"/>
      <c r="E167" s="180"/>
      <c r="F167" s="163"/>
      <c r="G167" s="172"/>
      <c r="H167" s="155"/>
    </row>
    <row r="168">
      <c r="A168" s="158" t="s">
        <v>50</v>
      </c>
      <c r="B168" s="159"/>
      <c r="C168" s="178"/>
      <c r="D168" s="179"/>
      <c r="E168" s="180"/>
      <c r="F168" s="163"/>
      <c r="G168" s="172"/>
      <c r="H168" s="155"/>
    </row>
    <row r="169">
      <c r="A169" s="183" t="s">
        <v>50</v>
      </c>
      <c r="B169" s="193"/>
      <c r="C169" s="194"/>
      <c r="D169" s="195"/>
      <c r="E169" s="196"/>
      <c r="F169" s="197"/>
      <c r="G169" s="184"/>
      <c r="H169" s="155"/>
    </row>
    <row r="170">
      <c r="B170" s="198"/>
      <c r="C170" s="199"/>
      <c r="D170" s="200"/>
      <c r="E170" s="201"/>
      <c r="F170" s="141"/>
      <c r="G170" s="141"/>
      <c r="H170" s="155"/>
    </row>
    <row r="171">
      <c r="A171" s="148" t="s">
        <v>51</v>
      </c>
      <c r="B171" s="187" t="s">
        <v>95</v>
      </c>
      <c r="C171" s="188">
        <v>43952.0</v>
      </c>
      <c r="D171" s="189" t="s">
        <v>143</v>
      </c>
      <c r="E171" s="190">
        <v>100.0</v>
      </c>
      <c r="F171" s="153" t="s">
        <v>22</v>
      </c>
      <c r="G171" s="191" t="s">
        <v>24</v>
      </c>
      <c r="H171" s="155"/>
    </row>
    <row r="172">
      <c r="A172" s="158" t="s">
        <v>51</v>
      </c>
      <c r="B172" s="159" t="s">
        <v>77</v>
      </c>
      <c r="C172" s="178">
        <v>43953.0</v>
      </c>
      <c r="D172" s="179" t="s">
        <v>77</v>
      </c>
      <c r="E172" s="180">
        <v>120.0</v>
      </c>
      <c r="F172" s="163" t="s">
        <v>26</v>
      </c>
      <c r="G172" s="172" t="s">
        <v>27</v>
      </c>
      <c r="H172" s="155"/>
    </row>
    <row r="173">
      <c r="A173" s="158" t="s">
        <v>51</v>
      </c>
      <c r="B173" s="159" t="s">
        <v>91</v>
      </c>
      <c r="C173" s="178">
        <v>43953.0</v>
      </c>
      <c r="D173" s="179" t="s">
        <v>144</v>
      </c>
      <c r="E173" s="180">
        <v>150.0</v>
      </c>
      <c r="F173" s="163" t="s">
        <v>26</v>
      </c>
      <c r="G173" s="172" t="s">
        <v>27</v>
      </c>
      <c r="H173" s="155"/>
    </row>
    <row r="174">
      <c r="A174" s="158" t="s">
        <v>51</v>
      </c>
      <c r="B174" s="159" t="s">
        <v>95</v>
      </c>
      <c r="C174" s="178">
        <v>43953.0</v>
      </c>
      <c r="D174" s="179" t="s">
        <v>145</v>
      </c>
      <c r="E174" s="180">
        <v>88.29</v>
      </c>
      <c r="F174" s="163" t="s">
        <v>14</v>
      </c>
      <c r="G174" s="172" t="s">
        <v>16</v>
      </c>
      <c r="H174" s="155"/>
    </row>
    <row r="175">
      <c r="A175" s="158" t="s">
        <v>51</v>
      </c>
      <c r="B175" s="159" t="s">
        <v>99</v>
      </c>
      <c r="C175" s="178">
        <v>43959.0</v>
      </c>
      <c r="D175" s="179" t="s">
        <v>99</v>
      </c>
      <c r="E175" s="180">
        <v>0.02</v>
      </c>
      <c r="F175" s="163" t="s">
        <v>14</v>
      </c>
      <c r="G175" s="172" t="s">
        <v>16</v>
      </c>
      <c r="H175" s="155"/>
    </row>
    <row r="176">
      <c r="A176" s="158" t="s">
        <v>51</v>
      </c>
      <c r="B176" s="159" t="s">
        <v>77</v>
      </c>
      <c r="C176" s="178">
        <v>43959.0</v>
      </c>
      <c r="D176" s="179" t="s">
        <v>77</v>
      </c>
      <c r="E176" s="180">
        <v>120.0</v>
      </c>
      <c r="F176" s="163" t="s">
        <v>26</v>
      </c>
      <c r="G176" s="172" t="s">
        <v>27</v>
      </c>
      <c r="H176" s="155"/>
    </row>
    <row r="177">
      <c r="A177" s="158" t="s">
        <v>51</v>
      </c>
      <c r="B177" s="159" t="s">
        <v>77</v>
      </c>
      <c r="C177" s="178">
        <v>43966.0</v>
      </c>
      <c r="D177" s="179" t="s">
        <v>77</v>
      </c>
      <c r="E177" s="180">
        <v>120.0</v>
      </c>
      <c r="F177" s="163" t="s">
        <v>26</v>
      </c>
      <c r="G177" s="172" t="s">
        <v>27</v>
      </c>
      <c r="H177" s="155"/>
    </row>
    <row r="178">
      <c r="A178" s="158" t="s">
        <v>51</v>
      </c>
      <c r="B178" s="159" t="s">
        <v>91</v>
      </c>
      <c r="C178" s="178">
        <v>43969.0</v>
      </c>
      <c r="D178" s="179" t="s">
        <v>122</v>
      </c>
      <c r="E178" s="180">
        <v>60.0</v>
      </c>
      <c r="F178" s="163" t="s">
        <v>26</v>
      </c>
      <c r="G178" s="172" t="s">
        <v>27</v>
      </c>
      <c r="H178" s="155"/>
    </row>
    <row r="179">
      <c r="A179" s="158" t="s">
        <v>51</v>
      </c>
      <c r="B179" s="159" t="s">
        <v>91</v>
      </c>
      <c r="C179" s="178">
        <v>43969.0</v>
      </c>
      <c r="D179" s="179" t="s">
        <v>146</v>
      </c>
      <c r="E179" s="180">
        <v>60.0</v>
      </c>
      <c r="F179" s="163" t="s">
        <v>26</v>
      </c>
      <c r="G179" s="172" t="s">
        <v>27</v>
      </c>
      <c r="H179" s="155"/>
    </row>
    <row r="180">
      <c r="A180" s="158" t="s">
        <v>51</v>
      </c>
      <c r="B180" s="159" t="s">
        <v>99</v>
      </c>
      <c r="C180" s="178">
        <v>43969.0</v>
      </c>
      <c r="D180" s="179" t="s">
        <v>99</v>
      </c>
      <c r="E180" s="180">
        <v>0.09</v>
      </c>
      <c r="F180" s="163" t="s">
        <v>14</v>
      </c>
      <c r="G180" s="172" t="s">
        <v>16</v>
      </c>
      <c r="H180" s="155"/>
    </row>
    <row r="181">
      <c r="A181" s="158" t="s">
        <v>51</v>
      </c>
      <c r="B181" s="159" t="s">
        <v>95</v>
      </c>
      <c r="C181" s="178">
        <v>43972.0</v>
      </c>
      <c r="D181" s="179" t="s">
        <v>147</v>
      </c>
      <c r="E181" s="180">
        <v>502.0</v>
      </c>
      <c r="F181" s="163" t="s">
        <v>22</v>
      </c>
      <c r="G181" s="172" t="s">
        <v>24</v>
      </c>
      <c r="H181" s="155"/>
    </row>
    <row r="182">
      <c r="A182" s="158" t="s">
        <v>51</v>
      </c>
      <c r="B182" s="159" t="s">
        <v>91</v>
      </c>
      <c r="C182" s="178">
        <v>43973.0</v>
      </c>
      <c r="D182" s="179" t="s">
        <v>148</v>
      </c>
      <c r="E182" s="180">
        <v>60.0</v>
      </c>
      <c r="F182" s="163" t="s">
        <v>26</v>
      </c>
      <c r="G182" s="172" t="s">
        <v>27</v>
      </c>
      <c r="H182" s="155"/>
    </row>
    <row r="183">
      <c r="A183" s="158" t="s">
        <v>51</v>
      </c>
      <c r="B183" s="159" t="s">
        <v>77</v>
      </c>
      <c r="C183" s="178">
        <v>43973.0</v>
      </c>
      <c r="D183" s="179" t="s">
        <v>77</v>
      </c>
      <c r="E183" s="180">
        <v>120.0</v>
      </c>
      <c r="F183" s="163" t="s">
        <v>26</v>
      </c>
      <c r="G183" s="172" t="s">
        <v>27</v>
      </c>
      <c r="H183" s="155"/>
    </row>
    <row r="184">
      <c r="A184" s="158" t="s">
        <v>51</v>
      </c>
      <c r="B184" s="159" t="s">
        <v>77</v>
      </c>
      <c r="C184" s="178">
        <v>43980.0</v>
      </c>
      <c r="D184" s="179" t="s">
        <v>77</v>
      </c>
      <c r="E184" s="180">
        <v>120.0</v>
      </c>
      <c r="F184" s="163" t="s">
        <v>26</v>
      </c>
      <c r="G184" s="172" t="s">
        <v>27</v>
      </c>
      <c r="H184" s="155"/>
    </row>
    <row r="185">
      <c r="A185" s="158" t="s">
        <v>51</v>
      </c>
      <c r="B185" s="159" t="s">
        <v>91</v>
      </c>
      <c r="C185" s="178">
        <v>43972.0</v>
      </c>
      <c r="D185" s="179" t="s">
        <v>126</v>
      </c>
      <c r="E185" s="180">
        <v>1.6</v>
      </c>
      <c r="F185" s="163" t="s">
        <v>22</v>
      </c>
      <c r="G185" s="172" t="s">
        <v>24</v>
      </c>
      <c r="H185" s="155"/>
    </row>
    <row r="186">
      <c r="A186" s="158" t="s">
        <v>51</v>
      </c>
      <c r="B186" s="159"/>
      <c r="C186" s="178"/>
      <c r="D186" s="179"/>
      <c r="E186" s="180"/>
      <c r="F186" s="163"/>
      <c r="G186" s="176"/>
      <c r="H186" s="155"/>
    </row>
    <row r="187">
      <c r="A187" s="158" t="s">
        <v>51</v>
      </c>
      <c r="B187" s="159"/>
      <c r="C187" s="178"/>
      <c r="D187" s="179"/>
      <c r="E187" s="180"/>
      <c r="F187" s="163"/>
      <c r="G187" s="176"/>
      <c r="H187" s="155"/>
    </row>
    <row r="188">
      <c r="A188" s="158" t="s">
        <v>51</v>
      </c>
      <c r="B188" s="159"/>
      <c r="C188" s="178"/>
      <c r="D188" s="179"/>
      <c r="E188" s="180"/>
      <c r="F188" s="163"/>
      <c r="G188" s="176"/>
      <c r="H188" s="155"/>
    </row>
    <row r="189">
      <c r="A189" s="158" t="s">
        <v>51</v>
      </c>
      <c r="B189" s="159"/>
      <c r="C189" s="178"/>
      <c r="D189" s="179"/>
      <c r="E189" s="180"/>
      <c r="F189" s="163"/>
      <c r="G189" s="176"/>
      <c r="H189" s="155"/>
    </row>
    <row r="190">
      <c r="A190" s="158" t="s">
        <v>51</v>
      </c>
      <c r="B190" s="159"/>
      <c r="C190" s="178"/>
      <c r="D190" s="179"/>
      <c r="E190" s="180"/>
      <c r="F190" s="163"/>
      <c r="G190" s="176"/>
      <c r="H190" s="155"/>
    </row>
    <row r="191">
      <c r="A191" s="158" t="s">
        <v>51</v>
      </c>
      <c r="B191" s="159"/>
      <c r="C191" s="178"/>
      <c r="D191" s="179"/>
      <c r="E191" s="180"/>
      <c r="F191" s="163"/>
      <c r="G191" s="176"/>
      <c r="H191" s="155"/>
    </row>
    <row r="192">
      <c r="A192" s="158" t="s">
        <v>51</v>
      </c>
      <c r="B192" s="159"/>
      <c r="C192" s="178"/>
      <c r="D192" s="179"/>
      <c r="E192" s="180"/>
      <c r="F192" s="163"/>
      <c r="G192" s="176"/>
      <c r="H192" s="155"/>
    </row>
    <row r="193">
      <c r="A193" s="158" t="s">
        <v>51</v>
      </c>
      <c r="B193" s="159"/>
      <c r="C193" s="178"/>
      <c r="D193" s="179"/>
      <c r="E193" s="180"/>
      <c r="F193" s="163"/>
      <c r="G193" s="176"/>
      <c r="H193" s="155"/>
    </row>
    <row r="194">
      <c r="A194" s="158" t="s">
        <v>51</v>
      </c>
      <c r="B194" s="159"/>
      <c r="C194" s="178"/>
      <c r="D194" s="179"/>
      <c r="E194" s="180"/>
      <c r="F194" s="163"/>
      <c r="G194" s="176"/>
      <c r="H194" s="155"/>
    </row>
    <row r="195">
      <c r="A195" s="158" t="s">
        <v>51</v>
      </c>
      <c r="B195" s="159"/>
      <c r="C195" s="178"/>
      <c r="D195" s="179"/>
      <c r="E195" s="180"/>
      <c r="F195" s="163"/>
      <c r="G195" s="172"/>
      <c r="H195" s="155"/>
    </row>
    <row r="196">
      <c r="A196" s="158" t="s">
        <v>51</v>
      </c>
      <c r="B196" s="159"/>
      <c r="C196" s="178"/>
      <c r="D196" s="179"/>
      <c r="E196" s="180"/>
      <c r="F196" s="163"/>
      <c r="G196" s="172"/>
      <c r="H196" s="155"/>
    </row>
    <row r="197">
      <c r="A197" s="158" t="s">
        <v>51</v>
      </c>
      <c r="B197" s="159"/>
      <c r="C197" s="178"/>
      <c r="D197" s="179"/>
      <c r="E197" s="180"/>
      <c r="F197" s="163"/>
      <c r="G197" s="172"/>
      <c r="H197" s="155"/>
    </row>
    <row r="198">
      <c r="A198" s="158" t="s">
        <v>51</v>
      </c>
      <c r="B198" s="159"/>
      <c r="C198" s="178"/>
      <c r="D198" s="179"/>
      <c r="E198" s="180"/>
      <c r="F198" s="163"/>
      <c r="G198" s="172"/>
      <c r="H198" s="155"/>
    </row>
    <row r="199">
      <c r="A199" s="158" t="s">
        <v>51</v>
      </c>
      <c r="B199" s="159"/>
      <c r="C199" s="178"/>
      <c r="D199" s="179"/>
      <c r="E199" s="180"/>
      <c r="F199" s="163"/>
      <c r="G199" s="172"/>
      <c r="H199" s="155"/>
    </row>
    <row r="200">
      <c r="A200" s="158" t="s">
        <v>51</v>
      </c>
      <c r="B200" s="159"/>
      <c r="C200" s="178"/>
      <c r="D200" s="179"/>
      <c r="E200" s="180"/>
      <c r="F200" s="163"/>
      <c r="G200" s="172"/>
      <c r="H200" s="155"/>
    </row>
    <row r="201">
      <c r="A201" s="158" t="s">
        <v>51</v>
      </c>
      <c r="B201" s="159"/>
      <c r="C201" s="178"/>
      <c r="D201" s="179"/>
      <c r="E201" s="180"/>
      <c r="F201" s="163"/>
      <c r="G201" s="172"/>
      <c r="H201" s="155"/>
    </row>
    <row r="202">
      <c r="A202" s="158" t="s">
        <v>51</v>
      </c>
      <c r="B202" s="159"/>
      <c r="C202" s="178"/>
      <c r="D202" s="179"/>
      <c r="E202" s="180"/>
      <c r="F202" s="163"/>
      <c r="G202" s="172"/>
      <c r="H202" s="155"/>
    </row>
    <row r="203">
      <c r="A203" s="158" t="s">
        <v>51</v>
      </c>
      <c r="B203" s="159"/>
      <c r="C203" s="178"/>
      <c r="D203" s="179"/>
      <c r="E203" s="180"/>
      <c r="F203" s="163"/>
      <c r="G203" s="172"/>
      <c r="H203" s="155"/>
    </row>
    <row r="204">
      <c r="A204" s="158" t="s">
        <v>51</v>
      </c>
      <c r="B204" s="159"/>
      <c r="C204" s="178"/>
      <c r="D204" s="179"/>
      <c r="E204" s="180"/>
      <c r="F204" s="163"/>
      <c r="G204" s="172"/>
      <c r="H204" s="155"/>
    </row>
    <row r="205">
      <c r="A205" s="158" t="s">
        <v>51</v>
      </c>
      <c r="B205" s="159"/>
      <c r="C205" s="178"/>
      <c r="D205" s="179"/>
      <c r="E205" s="180"/>
      <c r="F205" s="163"/>
      <c r="G205" s="172"/>
      <c r="H205" s="155"/>
    </row>
    <row r="206">
      <c r="A206" s="158" t="s">
        <v>51</v>
      </c>
      <c r="B206" s="159"/>
      <c r="C206" s="178"/>
      <c r="D206" s="179"/>
      <c r="E206" s="180"/>
      <c r="F206" s="163"/>
      <c r="G206" s="172"/>
      <c r="H206" s="155"/>
    </row>
    <row r="207">
      <c r="A207" s="158" t="s">
        <v>51</v>
      </c>
      <c r="B207" s="159"/>
      <c r="C207" s="178"/>
      <c r="D207" s="179"/>
      <c r="E207" s="180"/>
      <c r="F207" s="163"/>
      <c r="G207" s="172"/>
      <c r="H207" s="155"/>
    </row>
    <row r="208">
      <c r="A208" s="158" t="s">
        <v>51</v>
      </c>
      <c r="B208" s="159"/>
      <c r="C208" s="178"/>
      <c r="D208" s="179"/>
      <c r="E208" s="180"/>
      <c r="F208" s="163"/>
      <c r="G208" s="172"/>
      <c r="H208" s="155"/>
    </row>
    <row r="209">
      <c r="A209" s="158" t="s">
        <v>51</v>
      </c>
      <c r="B209" s="159"/>
      <c r="C209" s="178"/>
      <c r="D209" s="179"/>
      <c r="E209" s="180"/>
      <c r="F209" s="163"/>
      <c r="G209" s="172"/>
      <c r="H209" s="155"/>
    </row>
    <row r="210">
      <c r="A210" s="158" t="s">
        <v>51</v>
      </c>
      <c r="B210" s="159"/>
      <c r="C210" s="178"/>
      <c r="D210" s="179"/>
      <c r="E210" s="180"/>
      <c r="F210" s="163"/>
      <c r="G210" s="172"/>
      <c r="H210" s="155"/>
    </row>
    <row r="211">
      <c r="A211" s="183" t="s">
        <v>51</v>
      </c>
      <c r="B211" s="193"/>
      <c r="C211" s="194"/>
      <c r="D211" s="195"/>
      <c r="E211" s="196"/>
      <c r="F211" s="197"/>
      <c r="G211" s="184"/>
      <c r="H211" s="155"/>
    </row>
    <row r="212">
      <c r="B212" s="198"/>
      <c r="C212" s="199"/>
      <c r="D212" s="200"/>
      <c r="E212" s="201"/>
      <c r="F212" s="141"/>
      <c r="G212" s="141"/>
      <c r="H212" s="155"/>
    </row>
    <row r="213">
      <c r="A213" s="148" t="s">
        <v>52</v>
      </c>
      <c r="B213" s="187" t="s">
        <v>77</v>
      </c>
      <c r="C213" s="188">
        <v>43987.0</v>
      </c>
      <c r="D213" s="189" t="s">
        <v>77</v>
      </c>
      <c r="E213" s="202">
        <v>120.0</v>
      </c>
      <c r="F213" s="153" t="s">
        <v>26</v>
      </c>
      <c r="G213" s="191" t="s">
        <v>27</v>
      </c>
      <c r="H213" s="155"/>
    </row>
    <row r="214">
      <c r="A214" s="158" t="s">
        <v>52</v>
      </c>
      <c r="B214" s="159" t="s">
        <v>91</v>
      </c>
      <c r="C214" s="178">
        <v>43989.0</v>
      </c>
      <c r="D214" s="179" t="s">
        <v>149</v>
      </c>
      <c r="E214" s="204">
        <v>60.0</v>
      </c>
      <c r="F214" s="163" t="s">
        <v>22</v>
      </c>
      <c r="G214" s="172" t="s">
        <v>24</v>
      </c>
      <c r="H214" s="155"/>
    </row>
    <row r="215">
      <c r="A215" s="158" t="s">
        <v>52</v>
      </c>
      <c r="B215" s="159" t="s">
        <v>99</v>
      </c>
      <c r="C215" s="178">
        <v>43959.0</v>
      </c>
      <c r="D215" s="179" t="s">
        <v>99</v>
      </c>
      <c r="E215" s="204">
        <v>0.47</v>
      </c>
      <c r="F215" s="163" t="s">
        <v>14</v>
      </c>
      <c r="G215" s="172" t="s">
        <v>16</v>
      </c>
      <c r="H215" s="155"/>
    </row>
    <row r="216">
      <c r="A216" s="158" t="s">
        <v>52</v>
      </c>
      <c r="B216" s="159" t="s">
        <v>95</v>
      </c>
      <c r="C216" s="178">
        <v>43992.0</v>
      </c>
      <c r="D216" s="179" t="s">
        <v>150</v>
      </c>
      <c r="E216" s="204">
        <v>88.29</v>
      </c>
      <c r="F216" s="163" t="s">
        <v>14</v>
      </c>
      <c r="G216" s="172" t="s">
        <v>16</v>
      </c>
      <c r="H216" s="155"/>
    </row>
    <row r="217">
      <c r="A217" s="158" t="s">
        <v>52</v>
      </c>
      <c r="B217" s="159" t="s">
        <v>99</v>
      </c>
      <c r="C217" s="178">
        <v>43992.0</v>
      </c>
      <c r="D217" s="179" t="s">
        <v>99</v>
      </c>
      <c r="E217" s="204">
        <v>0.17</v>
      </c>
      <c r="F217" s="163" t="s">
        <v>14</v>
      </c>
      <c r="G217" s="172" t="s">
        <v>16</v>
      </c>
      <c r="H217" s="155"/>
    </row>
    <row r="218">
      <c r="A218" s="158" t="s">
        <v>52</v>
      </c>
      <c r="B218" s="159" t="s">
        <v>77</v>
      </c>
      <c r="C218" s="178">
        <v>43994.0</v>
      </c>
      <c r="D218" s="179" t="s">
        <v>77</v>
      </c>
      <c r="E218" s="204">
        <v>120.0</v>
      </c>
      <c r="F218" s="163" t="s">
        <v>26</v>
      </c>
      <c r="G218" s="172" t="s">
        <v>27</v>
      </c>
      <c r="H218" s="155"/>
    </row>
    <row r="219">
      <c r="A219" s="158" t="s">
        <v>52</v>
      </c>
      <c r="B219" s="159" t="s">
        <v>95</v>
      </c>
      <c r="C219" s="178">
        <v>43998.0</v>
      </c>
      <c r="D219" s="179" t="s">
        <v>151</v>
      </c>
      <c r="E219" s="204">
        <v>289.09</v>
      </c>
      <c r="F219" s="163" t="s">
        <v>26</v>
      </c>
      <c r="G219" s="172" t="s">
        <v>27</v>
      </c>
      <c r="H219" s="155"/>
    </row>
    <row r="220">
      <c r="A220" s="158" t="s">
        <v>52</v>
      </c>
      <c r="B220" s="159" t="s">
        <v>77</v>
      </c>
      <c r="C220" s="178">
        <v>44006.0</v>
      </c>
      <c r="D220" s="179" t="s">
        <v>77</v>
      </c>
      <c r="E220" s="204">
        <v>120.0</v>
      </c>
      <c r="F220" s="163" t="s">
        <v>14</v>
      </c>
      <c r="G220" s="172" t="s">
        <v>16</v>
      </c>
      <c r="H220" s="155"/>
    </row>
    <row r="221">
      <c r="A221" s="158" t="s">
        <v>52</v>
      </c>
      <c r="B221" s="159" t="s">
        <v>77</v>
      </c>
      <c r="C221" s="178">
        <v>44008.0</v>
      </c>
      <c r="D221" s="179" t="s">
        <v>77</v>
      </c>
      <c r="E221" s="204">
        <v>120.0</v>
      </c>
      <c r="F221" s="163" t="s">
        <v>26</v>
      </c>
      <c r="G221" s="172" t="s">
        <v>27</v>
      </c>
    </row>
    <row r="222">
      <c r="A222" s="158" t="s">
        <v>52</v>
      </c>
      <c r="B222" s="159" t="s">
        <v>99</v>
      </c>
      <c r="C222" s="178">
        <v>44009.0</v>
      </c>
      <c r="D222" s="179" t="s">
        <v>99</v>
      </c>
      <c r="E222" s="204">
        <v>0.26</v>
      </c>
      <c r="F222" s="163" t="s">
        <v>14</v>
      </c>
      <c r="G222" s="172" t="s">
        <v>16</v>
      </c>
    </row>
    <row r="223">
      <c r="A223" s="158" t="s">
        <v>52</v>
      </c>
      <c r="B223" s="159" t="s">
        <v>99</v>
      </c>
      <c r="C223" s="178">
        <v>44007.0</v>
      </c>
      <c r="D223" s="179" t="s">
        <v>99</v>
      </c>
      <c r="E223" s="204">
        <v>0.99</v>
      </c>
      <c r="F223" s="163" t="s">
        <v>14</v>
      </c>
      <c r="G223" s="172" t="s">
        <v>16</v>
      </c>
    </row>
    <row r="224">
      <c r="A224" s="158" t="s">
        <v>52</v>
      </c>
      <c r="B224" s="159"/>
      <c r="C224" s="178"/>
      <c r="D224" s="179"/>
      <c r="E224" s="180"/>
      <c r="F224" s="163"/>
      <c r="G224" s="176"/>
    </row>
    <row r="225">
      <c r="A225" s="158" t="s">
        <v>52</v>
      </c>
      <c r="B225" s="159"/>
      <c r="C225" s="178"/>
      <c r="D225" s="179"/>
      <c r="E225" s="180"/>
      <c r="F225" s="163"/>
      <c r="G225" s="176"/>
    </row>
    <row r="226">
      <c r="A226" s="158" t="s">
        <v>52</v>
      </c>
      <c r="B226" s="159"/>
      <c r="C226" s="178"/>
      <c r="D226" s="179"/>
      <c r="E226" s="180"/>
      <c r="F226" s="163"/>
      <c r="G226" s="176"/>
    </row>
    <row r="227">
      <c r="A227" s="158" t="s">
        <v>52</v>
      </c>
      <c r="B227" s="159"/>
      <c r="C227" s="178"/>
      <c r="D227" s="179"/>
      <c r="E227" s="180"/>
      <c r="F227" s="163"/>
      <c r="G227" s="176"/>
    </row>
    <row r="228">
      <c r="A228" s="158" t="s">
        <v>52</v>
      </c>
      <c r="B228" s="159"/>
      <c r="C228" s="178"/>
      <c r="D228" s="179"/>
      <c r="E228" s="180"/>
      <c r="F228" s="163"/>
      <c r="G228" s="176"/>
    </row>
    <row r="229">
      <c r="A229" s="158" t="s">
        <v>52</v>
      </c>
      <c r="B229" s="159"/>
      <c r="C229" s="178"/>
      <c r="D229" s="179"/>
      <c r="E229" s="180"/>
      <c r="F229" s="163"/>
      <c r="G229" s="176"/>
    </row>
    <row r="230">
      <c r="A230" s="158" t="s">
        <v>52</v>
      </c>
      <c r="B230" s="159"/>
      <c r="C230" s="178"/>
      <c r="D230" s="179"/>
      <c r="E230" s="180"/>
      <c r="F230" s="163"/>
      <c r="G230" s="176"/>
    </row>
    <row r="231">
      <c r="A231" s="158" t="s">
        <v>52</v>
      </c>
      <c r="B231" s="159"/>
      <c r="C231" s="178"/>
      <c r="D231" s="179"/>
      <c r="E231" s="180"/>
      <c r="F231" s="163"/>
      <c r="G231" s="176"/>
    </row>
    <row r="232">
      <c r="A232" s="158" t="s">
        <v>52</v>
      </c>
      <c r="B232" s="159"/>
      <c r="C232" s="178"/>
      <c r="D232" s="179"/>
      <c r="E232" s="180"/>
      <c r="F232" s="163"/>
      <c r="G232" s="176"/>
    </row>
    <row r="233">
      <c r="A233" s="158" t="s">
        <v>52</v>
      </c>
      <c r="B233" s="159"/>
      <c r="C233" s="178"/>
      <c r="D233" s="179"/>
      <c r="E233" s="180"/>
      <c r="F233" s="163"/>
      <c r="G233" s="176"/>
    </row>
    <row r="234">
      <c r="A234" s="158" t="s">
        <v>52</v>
      </c>
      <c r="B234" s="159"/>
      <c r="C234" s="178"/>
      <c r="D234" s="179"/>
      <c r="E234" s="180"/>
      <c r="F234" s="163"/>
      <c r="G234" s="176"/>
    </row>
    <row r="235">
      <c r="A235" s="158" t="s">
        <v>52</v>
      </c>
      <c r="B235" s="159"/>
      <c r="C235" s="178"/>
      <c r="D235" s="179"/>
      <c r="E235" s="180"/>
      <c r="F235" s="163"/>
      <c r="G235" s="176"/>
    </row>
    <row r="236">
      <c r="A236" s="158" t="s">
        <v>52</v>
      </c>
      <c r="B236" s="159"/>
      <c r="C236" s="178"/>
      <c r="D236" s="179"/>
      <c r="E236" s="180"/>
      <c r="F236" s="163"/>
      <c r="G236" s="176"/>
    </row>
    <row r="237">
      <c r="A237" s="158" t="s">
        <v>52</v>
      </c>
      <c r="B237" s="159"/>
      <c r="C237" s="178"/>
      <c r="D237" s="179"/>
      <c r="E237" s="180"/>
      <c r="F237" s="163"/>
      <c r="G237" s="172"/>
    </row>
    <row r="238">
      <c r="A238" s="158" t="s">
        <v>52</v>
      </c>
      <c r="B238" s="159"/>
      <c r="C238" s="178"/>
      <c r="D238" s="179"/>
      <c r="E238" s="180"/>
      <c r="F238" s="163"/>
      <c r="G238" s="172"/>
    </row>
    <row r="239">
      <c r="A239" s="158" t="s">
        <v>52</v>
      </c>
      <c r="B239" s="159"/>
      <c r="C239" s="178"/>
      <c r="D239" s="179"/>
      <c r="E239" s="180"/>
      <c r="F239" s="163"/>
      <c r="G239" s="172"/>
    </row>
    <row r="240">
      <c r="A240" s="158" t="s">
        <v>52</v>
      </c>
      <c r="B240" s="159"/>
      <c r="C240" s="178"/>
      <c r="D240" s="179"/>
      <c r="E240" s="180"/>
      <c r="F240" s="163"/>
      <c r="G240" s="172"/>
    </row>
    <row r="241">
      <c r="A241" s="158" t="s">
        <v>52</v>
      </c>
      <c r="B241" s="159"/>
      <c r="C241" s="178"/>
      <c r="D241" s="179"/>
      <c r="E241" s="180"/>
      <c r="F241" s="163"/>
      <c r="G241" s="172"/>
    </row>
    <row r="242">
      <c r="A242" s="158" t="s">
        <v>52</v>
      </c>
      <c r="B242" s="159"/>
      <c r="C242" s="178"/>
      <c r="D242" s="179"/>
      <c r="E242" s="180"/>
      <c r="F242" s="163"/>
      <c r="G242" s="172"/>
    </row>
    <row r="243">
      <c r="A243" s="158" t="s">
        <v>52</v>
      </c>
      <c r="B243" s="159"/>
      <c r="C243" s="178"/>
      <c r="D243" s="179"/>
      <c r="E243" s="180"/>
      <c r="F243" s="163"/>
      <c r="G243" s="172"/>
    </row>
    <row r="244">
      <c r="A244" s="158" t="s">
        <v>52</v>
      </c>
      <c r="B244" s="159"/>
      <c r="C244" s="178"/>
      <c r="D244" s="179"/>
      <c r="E244" s="180"/>
      <c r="F244" s="163"/>
      <c r="G244" s="172"/>
    </row>
    <row r="245">
      <c r="A245" s="158" t="s">
        <v>52</v>
      </c>
      <c r="B245" s="159"/>
      <c r="C245" s="178"/>
      <c r="D245" s="179"/>
      <c r="E245" s="180"/>
      <c r="F245" s="163"/>
      <c r="G245" s="172"/>
    </row>
    <row r="246">
      <c r="A246" s="158" t="s">
        <v>52</v>
      </c>
      <c r="B246" s="159"/>
      <c r="C246" s="178"/>
      <c r="D246" s="179"/>
      <c r="E246" s="180"/>
      <c r="F246" s="163"/>
      <c r="G246" s="172"/>
    </row>
    <row r="247">
      <c r="A247" s="158" t="s">
        <v>52</v>
      </c>
      <c r="B247" s="159"/>
      <c r="C247" s="178"/>
      <c r="D247" s="179"/>
      <c r="E247" s="180"/>
      <c r="F247" s="163"/>
      <c r="G247" s="172"/>
    </row>
    <row r="248">
      <c r="A248" s="158" t="s">
        <v>52</v>
      </c>
      <c r="B248" s="159"/>
      <c r="C248" s="178"/>
      <c r="D248" s="179"/>
      <c r="E248" s="180"/>
      <c r="F248" s="163"/>
      <c r="G248" s="172"/>
    </row>
    <row r="249">
      <c r="A249" s="158" t="s">
        <v>52</v>
      </c>
      <c r="B249" s="159"/>
      <c r="C249" s="178"/>
      <c r="D249" s="179"/>
      <c r="E249" s="180"/>
      <c r="F249" s="163"/>
      <c r="G249" s="172"/>
    </row>
    <row r="250">
      <c r="A250" s="158" t="s">
        <v>52</v>
      </c>
      <c r="B250" s="159"/>
      <c r="C250" s="178"/>
      <c r="D250" s="179"/>
      <c r="E250" s="180"/>
      <c r="F250" s="163"/>
      <c r="G250" s="172"/>
    </row>
    <row r="251">
      <c r="A251" s="158" t="s">
        <v>52</v>
      </c>
      <c r="B251" s="159"/>
      <c r="C251" s="178"/>
      <c r="D251" s="179"/>
      <c r="E251" s="180"/>
      <c r="F251" s="163"/>
      <c r="G251" s="172"/>
    </row>
    <row r="252">
      <c r="A252" s="158" t="s">
        <v>52</v>
      </c>
      <c r="B252" s="159"/>
      <c r="C252" s="178"/>
      <c r="D252" s="179"/>
      <c r="E252" s="180"/>
      <c r="F252" s="163"/>
      <c r="G252" s="172"/>
    </row>
    <row r="253">
      <c r="A253" s="183" t="s">
        <v>52</v>
      </c>
      <c r="B253" s="193"/>
      <c r="C253" s="194"/>
      <c r="D253" s="195"/>
      <c r="E253" s="196"/>
      <c r="F253" s="197"/>
      <c r="G253" s="184"/>
    </row>
    <row r="254">
      <c r="E254" s="205"/>
    </row>
    <row r="255">
      <c r="A255" s="148" t="s">
        <v>53</v>
      </c>
      <c r="B255" s="187" t="s">
        <v>77</v>
      </c>
      <c r="C255" s="188">
        <v>44015.0</v>
      </c>
      <c r="D255" s="189" t="s">
        <v>77</v>
      </c>
      <c r="E255" s="202">
        <v>120.0</v>
      </c>
      <c r="F255" s="153" t="s">
        <v>26</v>
      </c>
      <c r="G255" s="191" t="s">
        <v>27</v>
      </c>
    </row>
    <row r="256">
      <c r="A256" s="158" t="s">
        <v>53</v>
      </c>
      <c r="B256" s="159" t="s">
        <v>95</v>
      </c>
      <c r="C256" s="178">
        <v>44016.0</v>
      </c>
      <c r="D256" s="179" t="s">
        <v>151</v>
      </c>
      <c r="E256" s="204">
        <v>296.48</v>
      </c>
      <c r="F256" s="163" t="s">
        <v>26</v>
      </c>
      <c r="G256" s="172" t="s">
        <v>27</v>
      </c>
    </row>
    <row r="257">
      <c r="A257" s="158" t="s">
        <v>53</v>
      </c>
      <c r="B257" s="159" t="s">
        <v>91</v>
      </c>
      <c r="C257" s="178">
        <v>44018.0</v>
      </c>
      <c r="D257" s="179" t="s">
        <v>152</v>
      </c>
      <c r="E257" s="204">
        <v>10.0</v>
      </c>
      <c r="F257" s="163" t="s">
        <v>26</v>
      </c>
      <c r="G257" s="172" t="s">
        <v>27</v>
      </c>
    </row>
    <row r="258">
      <c r="A258" s="158" t="s">
        <v>53</v>
      </c>
      <c r="B258" s="159" t="s">
        <v>99</v>
      </c>
      <c r="C258" s="178">
        <v>44019.0</v>
      </c>
      <c r="D258" s="179" t="s">
        <v>99</v>
      </c>
      <c r="E258" s="204">
        <v>0.65</v>
      </c>
      <c r="F258" s="163" t="s">
        <v>14</v>
      </c>
      <c r="G258" s="172" t="s">
        <v>16</v>
      </c>
    </row>
    <row r="259">
      <c r="A259" s="158" t="s">
        <v>53</v>
      </c>
      <c r="B259" s="159" t="s">
        <v>99</v>
      </c>
      <c r="C259" s="178">
        <v>44023.0</v>
      </c>
      <c r="D259" s="179" t="s">
        <v>99</v>
      </c>
      <c r="E259" s="204">
        <v>0.46</v>
      </c>
      <c r="F259" s="163" t="s">
        <v>14</v>
      </c>
      <c r="G259" s="172" t="s">
        <v>16</v>
      </c>
    </row>
    <row r="260">
      <c r="A260" s="158" t="s">
        <v>53</v>
      </c>
      <c r="B260" s="159" t="s">
        <v>77</v>
      </c>
      <c r="C260" s="178">
        <v>44023.0</v>
      </c>
      <c r="D260" s="179" t="s">
        <v>77</v>
      </c>
      <c r="E260" s="204">
        <v>120.0</v>
      </c>
      <c r="F260" s="163" t="s">
        <v>26</v>
      </c>
      <c r="G260" s="172" t="s">
        <v>27</v>
      </c>
    </row>
    <row r="261">
      <c r="A261" s="158" t="s">
        <v>53</v>
      </c>
      <c r="B261" s="159" t="s">
        <v>77</v>
      </c>
      <c r="C261" s="178">
        <v>44029.0</v>
      </c>
      <c r="D261" s="179" t="s">
        <v>153</v>
      </c>
      <c r="E261" s="204">
        <v>120.0</v>
      </c>
      <c r="F261" s="163" t="s">
        <v>26</v>
      </c>
      <c r="G261" s="172" t="s">
        <v>27</v>
      </c>
    </row>
    <row r="262">
      <c r="A262" s="158" t="s">
        <v>53</v>
      </c>
      <c r="B262" s="159" t="s">
        <v>77</v>
      </c>
      <c r="C262" s="178">
        <v>44039.0</v>
      </c>
      <c r="D262" s="179" t="s">
        <v>77</v>
      </c>
      <c r="E262" s="204">
        <v>120.0</v>
      </c>
      <c r="F262" s="163" t="s">
        <v>26</v>
      </c>
      <c r="G262" s="172" t="s">
        <v>27</v>
      </c>
    </row>
    <row r="263">
      <c r="A263" s="158" t="s">
        <v>53</v>
      </c>
      <c r="B263" s="159" t="s">
        <v>91</v>
      </c>
      <c r="C263" s="178">
        <v>44039.0</v>
      </c>
      <c r="D263" s="179" t="s">
        <v>154</v>
      </c>
      <c r="E263" s="204">
        <v>1.0</v>
      </c>
      <c r="F263" s="163" t="s">
        <v>26</v>
      </c>
      <c r="G263" s="172" t="s">
        <v>27</v>
      </c>
    </row>
    <row r="264">
      <c r="A264" s="158" t="s">
        <v>53</v>
      </c>
      <c r="B264" s="159" t="s">
        <v>77</v>
      </c>
      <c r="C264" s="178">
        <v>44043.0</v>
      </c>
      <c r="D264" s="179" t="s">
        <v>77</v>
      </c>
      <c r="E264" s="204">
        <v>120.0</v>
      </c>
      <c r="F264" s="163" t="s">
        <v>26</v>
      </c>
      <c r="G264" s="172" t="s">
        <v>27</v>
      </c>
    </row>
    <row r="265">
      <c r="A265" s="158" t="s">
        <v>53</v>
      </c>
      <c r="B265" s="159" t="s">
        <v>95</v>
      </c>
      <c r="C265" s="178">
        <v>44043.0</v>
      </c>
      <c r="D265" s="179" t="s">
        <v>155</v>
      </c>
      <c r="E265" s="204">
        <v>600.0</v>
      </c>
      <c r="F265" s="163" t="s">
        <v>14</v>
      </c>
      <c r="G265" s="172" t="s">
        <v>16</v>
      </c>
    </row>
    <row r="266">
      <c r="A266" s="158" t="s">
        <v>53</v>
      </c>
      <c r="B266" s="159" t="s">
        <v>99</v>
      </c>
      <c r="C266" s="178">
        <v>44043.0</v>
      </c>
      <c r="D266" s="179" t="s">
        <v>99</v>
      </c>
      <c r="E266" s="204">
        <v>1.34</v>
      </c>
      <c r="F266" s="163" t="s">
        <v>14</v>
      </c>
      <c r="G266" s="172" t="s">
        <v>16</v>
      </c>
    </row>
    <row r="267">
      <c r="A267" s="158" t="s">
        <v>53</v>
      </c>
      <c r="B267" s="159"/>
      <c r="C267" s="178"/>
      <c r="D267" s="179"/>
      <c r="E267" s="204"/>
      <c r="F267" s="163"/>
      <c r="G267" s="176"/>
    </row>
    <row r="268">
      <c r="A268" s="158" t="s">
        <v>53</v>
      </c>
      <c r="B268" s="159"/>
      <c r="C268" s="178"/>
      <c r="D268" s="179"/>
      <c r="E268" s="204"/>
      <c r="F268" s="163"/>
      <c r="G268" s="176"/>
    </row>
    <row r="269">
      <c r="A269" s="158" t="s">
        <v>53</v>
      </c>
      <c r="B269" s="159"/>
      <c r="C269" s="178"/>
      <c r="D269" s="179"/>
      <c r="E269" s="204"/>
      <c r="F269" s="163"/>
      <c r="G269" s="176"/>
    </row>
    <row r="270">
      <c r="A270" s="158" t="s">
        <v>53</v>
      </c>
      <c r="B270" s="159"/>
      <c r="C270" s="178"/>
      <c r="D270" s="179"/>
      <c r="E270" s="204"/>
      <c r="F270" s="163"/>
      <c r="G270" s="176"/>
    </row>
    <row r="271">
      <c r="A271" s="158" t="s">
        <v>53</v>
      </c>
      <c r="B271" s="159"/>
      <c r="C271" s="178"/>
      <c r="D271" s="179"/>
      <c r="E271" s="204"/>
      <c r="F271" s="163"/>
      <c r="G271" s="176"/>
    </row>
    <row r="272">
      <c r="A272" s="158" t="s">
        <v>53</v>
      </c>
      <c r="B272" s="159"/>
      <c r="C272" s="178"/>
      <c r="D272" s="179"/>
      <c r="E272" s="180"/>
      <c r="F272" s="163"/>
      <c r="G272" s="176"/>
    </row>
    <row r="273">
      <c r="A273" s="158" t="s">
        <v>53</v>
      </c>
      <c r="B273" s="159"/>
      <c r="C273" s="178"/>
      <c r="D273" s="179"/>
      <c r="E273" s="180"/>
      <c r="F273" s="163"/>
      <c r="G273" s="176"/>
    </row>
    <row r="274">
      <c r="A274" s="158" t="s">
        <v>53</v>
      </c>
      <c r="B274" s="159"/>
      <c r="C274" s="178"/>
      <c r="D274" s="179"/>
      <c r="E274" s="180"/>
      <c r="F274" s="163"/>
      <c r="G274" s="176"/>
    </row>
    <row r="275">
      <c r="A275" s="158" t="s">
        <v>53</v>
      </c>
      <c r="B275" s="159"/>
      <c r="C275" s="178"/>
      <c r="D275" s="179"/>
      <c r="E275" s="180"/>
      <c r="F275" s="163"/>
      <c r="G275" s="176"/>
    </row>
    <row r="276">
      <c r="A276" s="158" t="s">
        <v>53</v>
      </c>
      <c r="B276" s="159"/>
      <c r="C276" s="178"/>
      <c r="D276" s="179"/>
      <c r="E276" s="180"/>
      <c r="F276" s="163"/>
      <c r="G276" s="176"/>
    </row>
    <row r="277">
      <c r="A277" s="158" t="s">
        <v>53</v>
      </c>
      <c r="B277" s="159"/>
      <c r="C277" s="178"/>
      <c r="D277" s="179"/>
      <c r="E277" s="180"/>
      <c r="F277" s="163"/>
      <c r="G277" s="176"/>
    </row>
    <row r="278">
      <c r="A278" s="158" t="s">
        <v>53</v>
      </c>
      <c r="B278" s="159"/>
      <c r="C278" s="178"/>
      <c r="D278" s="179"/>
      <c r="E278" s="180"/>
      <c r="F278" s="163"/>
      <c r="G278" s="176"/>
    </row>
    <row r="279">
      <c r="A279" s="158" t="s">
        <v>53</v>
      </c>
      <c r="B279" s="159"/>
      <c r="C279" s="178"/>
      <c r="D279" s="179"/>
      <c r="E279" s="180"/>
      <c r="F279" s="163"/>
      <c r="G279" s="172"/>
    </row>
    <row r="280">
      <c r="A280" s="158" t="s">
        <v>53</v>
      </c>
      <c r="B280" s="159"/>
      <c r="C280" s="178"/>
      <c r="D280" s="179"/>
      <c r="E280" s="180"/>
      <c r="F280" s="163"/>
      <c r="G280" s="172"/>
    </row>
    <row r="281">
      <c r="A281" s="158" t="s">
        <v>53</v>
      </c>
      <c r="B281" s="159"/>
      <c r="C281" s="178"/>
      <c r="D281" s="179"/>
      <c r="E281" s="180"/>
      <c r="F281" s="163"/>
      <c r="G281" s="172"/>
    </row>
    <row r="282">
      <c r="A282" s="158" t="s">
        <v>53</v>
      </c>
      <c r="B282" s="159"/>
      <c r="C282" s="178"/>
      <c r="D282" s="179"/>
      <c r="E282" s="180"/>
      <c r="F282" s="163"/>
      <c r="G282" s="172"/>
    </row>
    <row r="283">
      <c r="A283" s="158" t="s">
        <v>53</v>
      </c>
      <c r="B283" s="159"/>
      <c r="C283" s="178"/>
      <c r="D283" s="179"/>
      <c r="E283" s="180"/>
      <c r="F283" s="163"/>
      <c r="G283" s="172"/>
    </row>
    <row r="284">
      <c r="A284" s="158" t="s">
        <v>53</v>
      </c>
      <c r="B284" s="159"/>
      <c r="C284" s="178"/>
      <c r="D284" s="179"/>
      <c r="E284" s="180"/>
      <c r="F284" s="163"/>
      <c r="G284" s="172"/>
    </row>
    <row r="285">
      <c r="A285" s="158" t="s">
        <v>53</v>
      </c>
      <c r="B285" s="159"/>
      <c r="C285" s="178"/>
      <c r="D285" s="179"/>
      <c r="E285" s="180"/>
      <c r="F285" s="163"/>
      <c r="G285" s="172"/>
    </row>
    <row r="286">
      <c r="A286" s="158" t="s">
        <v>53</v>
      </c>
      <c r="B286" s="159"/>
      <c r="C286" s="178"/>
      <c r="D286" s="179"/>
      <c r="E286" s="180"/>
      <c r="F286" s="163"/>
      <c r="G286" s="172"/>
    </row>
    <row r="287">
      <c r="A287" s="158" t="s">
        <v>53</v>
      </c>
      <c r="B287" s="159"/>
      <c r="C287" s="178"/>
      <c r="D287" s="179"/>
      <c r="E287" s="180"/>
      <c r="F287" s="163"/>
      <c r="G287" s="172"/>
    </row>
    <row r="288">
      <c r="A288" s="158" t="s">
        <v>53</v>
      </c>
      <c r="B288" s="159"/>
      <c r="C288" s="178"/>
      <c r="D288" s="179"/>
      <c r="E288" s="180"/>
      <c r="F288" s="163"/>
      <c r="G288" s="172"/>
    </row>
    <row r="289">
      <c r="A289" s="158" t="s">
        <v>53</v>
      </c>
      <c r="B289" s="159"/>
      <c r="C289" s="178"/>
      <c r="D289" s="179"/>
      <c r="E289" s="180"/>
      <c r="F289" s="163"/>
      <c r="G289" s="172"/>
    </row>
    <row r="290">
      <c r="A290" s="158" t="s">
        <v>53</v>
      </c>
      <c r="B290" s="159"/>
      <c r="C290" s="178"/>
      <c r="D290" s="179"/>
      <c r="E290" s="180"/>
      <c r="F290" s="163"/>
      <c r="G290" s="172"/>
    </row>
    <row r="291">
      <c r="A291" s="158" t="s">
        <v>53</v>
      </c>
      <c r="B291" s="159"/>
      <c r="C291" s="178"/>
      <c r="D291" s="179"/>
      <c r="E291" s="180"/>
      <c r="F291" s="163"/>
      <c r="G291" s="172"/>
    </row>
    <row r="292">
      <c r="A292" s="158" t="s">
        <v>53</v>
      </c>
      <c r="B292" s="159"/>
      <c r="C292" s="178"/>
      <c r="D292" s="179"/>
      <c r="E292" s="180"/>
      <c r="F292" s="163"/>
      <c r="G292" s="172"/>
    </row>
    <row r="293">
      <c r="A293" s="158" t="s">
        <v>53</v>
      </c>
      <c r="B293" s="159"/>
      <c r="C293" s="178"/>
      <c r="D293" s="179"/>
      <c r="E293" s="180"/>
      <c r="F293" s="163"/>
      <c r="G293" s="172"/>
    </row>
    <row r="294">
      <c r="A294" s="158" t="s">
        <v>53</v>
      </c>
      <c r="B294" s="159"/>
      <c r="C294" s="178"/>
      <c r="D294" s="179"/>
      <c r="E294" s="180"/>
      <c r="F294" s="163"/>
      <c r="G294" s="172"/>
    </row>
    <row r="295">
      <c r="A295" s="183" t="s">
        <v>53</v>
      </c>
      <c r="B295" s="193"/>
      <c r="C295" s="194"/>
      <c r="D295" s="195"/>
      <c r="E295" s="196"/>
      <c r="F295" s="197"/>
      <c r="G295" s="184"/>
    </row>
    <row r="296">
      <c r="E296" s="205"/>
    </row>
    <row r="297">
      <c r="A297" s="148" t="s">
        <v>54</v>
      </c>
      <c r="B297" s="187" t="s">
        <v>77</v>
      </c>
      <c r="C297" s="188">
        <v>44051.0</v>
      </c>
      <c r="D297" s="189" t="s">
        <v>77</v>
      </c>
      <c r="E297" s="202">
        <v>120.0</v>
      </c>
      <c r="F297" s="153" t="s">
        <v>26</v>
      </c>
      <c r="G297" s="191" t="s">
        <v>27</v>
      </c>
    </row>
    <row r="298">
      <c r="A298" s="158" t="s">
        <v>54</v>
      </c>
      <c r="B298" s="159" t="s">
        <v>95</v>
      </c>
      <c r="C298" s="178">
        <v>44051.0</v>
      </c>
      <c r="D298" s="179" t="s">
        <v>156</v>
      </c>
      <c r="E298" s="204">
        <v>200.0</v>
      </c>
      <c r="F298" s="163" t="s">
        <v>26</v>
      </c>
      <c r="G298" s="172" t="s">
        <v>27</v>
      </c>
    </row>
    <row r="299">
      <c r="A299" s="158" t="s">
        <v>54</v>
      </c>
      <c r="B299" s="159" t="s">
        <v>99</v>
      </c>
      <c r="C299" s="178">
        <v>44053.0</v>
      </c>
      <c r="D299" s="179" t="s">
        <v>99</v>
      </c>
      <c r="E299" s="204">
        <v>0.93</v>
      </c>
      <c r="F299" s="163" t="s">
        <v>14</v>
      </c>
      <c r="G299" s="172" t="s">
        <v>16</v>
      </c>
    </row>
    <row r="300">
      <c r="A300" s="158" t="s">
        <v>54</v>
      </c>
      <c r="B300" s="159" t="s">
        <v>77</v>
      </c>
      <c r="C300" s="178">
        <v>44060.0</v>
      </c>
      <c r="D300" s="179" t="s">
        <v>77</v>
      </c>
      <c r="E300" s="204">
        <v>120.0</v>
      </c>
      <c r="F300" s="163" t="s">
        <v>26</v>
      </c>
      <c r="G300" s="172" t="s">
        <v>27</v>
      </c>
    </row>
    <row r="301">
      <c r="A301" s="158" t="s">
        <v>54</v>
      </c>
      <c r="B301" s="159" t="s">
        <v>77</v>
      </c>
      <c r="C301" s="178">
        <v>44067.0</v>
      </c>
      <c r="D301" s="179" t="s">
        <v>77</v>
      </c>
      <c r="E301" s="204">
        <v>120.0</v>
      </c>
      <c r="F301" s="163" t="s">
        <v>26</v>
      </c>
      <c r="G301" s="172" t="s">
        <v>27</v>
      </c>
    </row>
    <row r="302">
      <c r="A302" s="158" t="s">
        <v>54</v>
      </c>
      <c r="B302" s="159" t="s">
        <v>91</v>
      </c>
      <c r="C302" s="178">
        <v>44070.0</v>
      </c>
      <c r="D302" s="179" t="s">
        <v>157</v>
      </c>
      <c r="E302" s="204">
        <v>60.0</v>
      </c>
      <c r="F302" s="163" t="s">
        <v>26</v>
      </c>
      <c r="G302" s="172" t="s">
        <v>27</v>
      </c>
    </row>
    <row r="303">
      <c r="A303" s="158" t="s">
        <v>54</v>
      </c>
      <c r="B303" s="159" t="s">
        <v>77</v>
      </c>
      <c r="C303" s="178">
        <v>44072.0</v>
      </c>
      <c r="D303" s="179" t="s">
        <v>77</v>
      </c>
      <c r="E303" s="204">
        <v>120.0</v>
      </c>
      <c r="F303" s="163" t="s">
        <v>26</v>
      </c>
      <c r="G303" s="172" t="s">
        <v>27</v>
      </c>
    </row>
    <row r="304">
      <c r="A304" s="158" t="s">
        <v>54</v>
      </c>
      <c r="B304" s="159" t="s">
        <v>99</v>
      </c>
      <c r="C304" s="178">
        <v>44072.0</v>
      </c>
      <c r="D304" s="179" t="s">
        <v>99</v>
      </c>
      <c r="E304" s="204">
        <v>0.24</v>
      </c>
      <c r="F304" s="163" t="s">
        <v>14</v>
      </c>
      <c r="G304" s="172" t="s">
        <v>16</v>
      </c>
    </row>
    <row r="305">
      <c r="A305" s="158" t="s">
        <v>54</v>
      </c>
      <c r="B305" s="159"/>
      <c r="C305" s="178"/>
      <c r="D305" s="179"/>
      <c r="E305" s="204"/>
      <c r="F305" s="163"/>
      <c r="G305" s="172"/>
    </row>
    <row r="306">
      <c r="A306" s="158" t="s">
        <v>54</v>
      </c>
      <c r="B306" s="159"/>
      <c r="C306" s="178"/>
      <c r="D306" s="179"/>
      <c r="E306" s="204"/>
      <c r="F306" s="163"/>
      <c r="G306" s="172"/>
    </row>
    <row r="307">
      <c r="A307" s="158" t="s">
        <v>54</v>
      </c>
      <c r="B307" s="159"/>
      <c r="C307" s="178"/>
      <c r="D307" s="179"/>
      <c r="E307" s="180"/>
      <c r="F307" s="163"/>
      <c r="G307" s="172"/>
    </row>
    <row r="308">
      <c r="A308" s="158" t="s">
        <v>54</v>
      </c>
      <c r="B308" s="159"/>
      <c r="C308" s="178"/>
      <c r="D308" s="179"/>
      <c r="E308" s="180"/>
      <c r="F308" s="163"/>
      <c r="G308" s="176"/>
    </row>
    <row r="309">
      <c r="A309" s="158" t="s">
        <v>54</v>
      </c>
      <c r="B309" s="159"/>
      <c r="C309" s="178"/>
      <c r="D309" s="179"/>
      <c r="E309" s="180"/>
      <c r="F309" s="163"/>
      <c r="G309" s="176"/>
    </row>
    <row r="310">
      <c r="A310" s="158" t="s">
        <v>54</v>
      </c>
      <c r="B310" s="159"/>
      <c r="C310" s="178"/>
      <c r="D310" s="179"/>
      <c r="E310" s="180"/>
      <c r="F310" s="163"/>
      <c r="G310" s="176"/>
    </row>
    <row r="311">
      <c r="A311" s="158" t="s">
        <v>54</v>
      </c>
      <c r="B311" s="159"/>
      <c r="C311" s="178"/>
      <c r="D311" s="179"/>
      <c r="E311" s="180"/>
      <c r="F311" s="163"/>
      <c r="G311" s="176"/>
    </row>
    <row r="312">
      <c r="A312" s="158" t="s">
        <v>54</v>
      </c>
      <c r="B312" s="159"/>
      <c r="C312" s="178"/>
      <c r="D312" s="179"/>
      <c r="E312" s="180"/>
      <c r="F312" s="163"/>
      <c r="G312" s="176"/>
    </row>
    <row r="313">
      <c r="A313" s="158" t="s">
        <v>54</v>
      </c>
      <c r="B313" s="159"/>
      <c r="C313" s="178"/>
      <c r="D313" s="179"/>
      <c r="E313" s="180"/>
      <c r="F313" s="163"/>
      <c r="G313" s="176"/>
    </row>
    <row r="314">
      <c r="A314" s="158" t="s">
        <v>54</v>
      </c>
      <c r="B314" s="159"/>
      <c r="C314" s="178"/>
      <c r="D314" s="179"/>
      <c r="E314" s="180"/>
      <c r="F314" s="163"/>
      <c r="G314" s="176"/>
    </row>
    <row r="315">
      <c r="A315" s="158" t="s">
        <v>54</v>
      </c>
      <c r="B315" s="159"/>
      <c r="C315" s="178"/>
      <c r="D315" s="179"/>
      <c r="E315" s="180"/>
      <c r="F315" s="163"/>
      <c r="G315" s="176"/>
    </row>
    <row r="316">
      <c r="A316" s="158" t="s">
        <v>54</v>
      </c>
      <c r="B316" s="159"/>
      <c r="C316" s="178"/>
      <c r="D316" s="179"/>
      <c r="E316" s="180"/>
      <c r="F316" s="163"/>
      <c r="G316" s="176"/>
    </row>
    <row r="317">
      <c r="A317" s="158" t="s">
        <v>54</v>
      </c>
      <c r="B317" s="159"/>
      <c r="C317" s="178"/>
      <c r="D317" s="179"/>
      <c r="E317" s="180"/>
      <c r="F317" s="163"/>
      <c r="G317" s="176"/>
    </row>
    <row r="318">
      <c r="A318" s="158" t="s">
        <v>54</v>
      </c>
      <c r="B318" s="159"/>
      <c r="C318" s="178"/>
      <c r="D318" s="179"/>
      <c r="E318" s="180"/>
      <c r="F318" s="163"/>
      <c r="G318" s="176"/>
    </row>
    <row r="319">
      <c r="A319" s="158" t="s">
        <v>54</v>
      </c>
      <c r="B319" s="159"/>
      <c r="C319" s="178"/>
      <c r="D319" s="179"/>
      <c r="E319" s="180"/>
      <c r="F319" s="163"/>
      <c r="G319" s="176"/>
    </row>
    <row r="320">
      <c r="A320" s="158" t="s">
        <v>54</v>
      </c>
      <c r="B320" s="159"/>
      <c r="C320" s="178"/>
      <c r="D320" s="179"/>
      <c r="E320" s="180"/>
      <c r="F320" s="163"/>
      <c r="G320" s="176"/>
    </row>
    <row r="321">
      <c r="A321" s="158" t="s">
        <v>54</v>
      </c>
      <c r="B321" s="159"/>
      <c r="C321" s="178"/>
      <c r="D321" s="179"/>
      <c r="E321" s="180"/>
      <c r="F321" s="163"/>
      <c r="G321" s="172"/>
    </row>
    <row r="322">
      <c r="A322" s="158" t="s">
        <v>54</v>
      </c>
      <c r="B322" s="159"/>
      <c r="C322" s="178"/>
      <c r="D322" s="179"/>
      <c r="E322" s="180"/>
      <c r="F322" s="163"/>
      <c r="G322" s="172"/>
    </row>
    <row r="323">
      <c r="A323" s="158" t="s">
        <v>54</v>
      </c>
      <c r="B323" s="159"/>
      <c r="C323" s="178"/>
      <c r="D323" s="179"/>
      <c r="E323" s="180"/>
      <c r="F323" s="163"/>
      <c r="G323" s="172"/>
    </row>
    <row r="324">
      <c r="A324" s="158" t="s">
        <v>54</v>
      </c>
      <c r="B324" s="159"/>
      <c r="C324" s="178"/>
      <c r="D324" s="179"/>
      <c r="E324" s="180"/>
      <c r="F324" s="163"/>
      <c r="G324" s="172"/>
    </row>
    <row r="325">
      <c r="A325" s="158" t="s">
        <v>54</v>
      </c>
      <c r="B325" s="159"/>
      <c r="C325" s="178"/>
      <c r="D325" s="179"/>
      <c r="E325" s="180"/>
      <c r="F325" s="163"/>
      <c r="G325" s="172"/>
    </row>
    <row r="326">
      <c r="A326" s="158" t="s">
        <v>54</v>
      </c>
      <c r="B326" s="159"/>
      <c r="C326" s="178"/>
      <c r="D326" s="179"/>
      <c r="E326" s="180"/>
      <c r="F326" s="163"/>
      <c r="G326" s="172"/>
    </row>
    <row r="327">
      <c r="A327" s="158" t="s">
        <v>54</v>
      </c>
      <c r="B327" s="159"/>
      <c r="C327" s="178"/>
      <c r="D327" s="179"/>
      <c r="E327" s="180"/>
      <c r="F327" s="163"/>
      <c r="G327" s="172"/>
    </row>
    <row r="328">
      <c r="A328" s="158" t="s">
        <v>54</v>
      </c>
      <c r="B328" s="159"/>
      <c r="C328" s="178"/>
      <c r="D328" s="179"/>
      <c r="E328" s="180"/>
      <c r="F328" s="163"/>
      <c r="G328" s="172"/>
    </row>
    <row r="329">
      <c r="A329" s="158" t="s">
        <v>54</v>
      </c>
      <c r="B329" s="159"/>
      <c r="C329" s="178"/>
      <c r="D329" s="179"/>
      <c r="E329" s="180"/>
      <c r="F329" s="163"/>
      <c r="G329" s="172"/>
    </row>
    <row r="330">
      <c r="A330" s="158" t="s">
        <v>54</v>
      </c>
      <c r="B330" s="159"/>
      <c r="C330" s="178"/>
      <c r="D330" s="179"/>
      <c r="E330" s="180"/>
      <c r="F330" s="163"/>
      <c r="G330" s="172"/>
    </row>
    <row r="331">
      <c r="A331" s="158" t="s">
        <v>54</v>
      </c>
      <c r="B331" s="159"/>
      <c r="C331" s="178"/>
      <c r="D331" s="179"/>
      <c r="E331" s="180"/>
      <c r="F331" s="163"/>
      <c r="G331" s="172"/>
    </row>
    <row r="332">
      <c r="A332" s="158" t="s">
        <v>54</v>
      </c>
      <c r="B332" s="159"/>
      <c r="C332" s="178"/>
      <c r="D332" s="179"/>
      <c r="E332" s="180"/>
      <c r="F332" s="163"/>
      <c r="G332" s="172"/>
    </row>
    <row r="333">
      <c r="A333" s="158" t="s">
        <v>54</v>
      </c>
      <c r="B333" s="159"/>
      <c r="C333" s="178"/>
      <c r="D333" s="179"/>
      <c r="E333" s="180"/>
      <c r="F333" s="163"/>
      <c r="G333" s="172"/>
    </row>
    <row r="334">
      <c r="A334" s="158" t="s">
        <v>54</v>
      </c>
      <c r="B334" s="159"/>
      <c r="C334" s="178"/>
      <c r="D334" s="179"/>
      <c r="E334" s="180"/>
      <c r="F334" s="163"/>
      <c r="G334" s="172"/>
    </row>
    <row r="335">
      <c r="A335" s="158" t="s">
        <v>54</v>
      </c>
      <c r="B335" s="159"/>
      <c r="C335" s="178"/>
      <c r="D335" s="179"/>
      <c r="E335" s="180"/>
      <c r="F335" s="163"/>
      <c r="G335" s="172"/>
    </row>
    <row r="336">
      <c r="A336" s="158" t="s">
        <v>54</v>
      </c>
      <c r="B336" s="159"/>
      <c r="C336" s="178"/>
      <c r="D336" s="179"/>
      <c r="E336" s="180"/>
      <c r="F336" s="163"/>
      <c r="G336" s="172"/>
    </row>
    <row r="337">
      <c r="A337" s="183" t="s">
        <v>54</v>
      </c>
      <c r="B337" s="193"/>
      <c r="C337" s="194"/>
      <c r="D337" s="195"/>
      <c r="E337" s="196"/>
      <c r="F337" s="197"/>
      <c r="G337" s="184"/>
    </row>
    <row r="338">
      <c r="E338" s="205"/>
    </row>
    <row r="339">
      <c r="A339" s="148" t="s">
        <v>55</v>
      </c>
      <c r="B339" s="206" t="s">
        <v>95</v>
      </c>
      <c r="C339" s="188">
        <v>44078.0</v>
      </c>
      <c r="D339" s="189" t="s">
        <v>158</v>
      </c>
      <c r="E339" s="190">
        <v>600.0</v>
      </c>
      <c r="F339" s="153" t="s">
        <v>14</v>
      </c>
      <c r="G339" s="191" t="s">
        <v>16</v>
      </c>
    </row>
    <row r="340">
      <c r="A340" s="158" t="s">
        <v>55</v>
      </c>
      <c r="B340" s="207" t="s">
        <v>91</v>
      </c>
      <c r="C340" s="178">
        <v>44081.0</v>
      </c>
      <c r="D340" s="179" t="s">
        <v>159</v>
      </c>
      <c r="E340" s="180">
        <v>60.0</v>
      </c>
      <c r="F340" s="163" t="s">
        <v>26</v>
      </c>
      <c r="G340" s="172" t="s">
        <v>27</v>
      </c>
    </row>
    <row r="341">
      <c r="A341" s="158" t="s">
        <v>55</v>
      </c>
      <c r="B341" s="207" t="s">
        <v>91</v>
      </c>
      <c r="C341" s="178">
        <v>44081.0</v>
      </c>
      <c r="D341" s="179" t="s">
        <v>160</v>
      </c>
      <c r="E341" s="180">
        <v>60.0</v>
      </c>
      <c r="F341" s="163" t="s">
        <v>26</v>
      </c>
      <c r="G341" s="172" t="s">
        <v>27</v>
      </c>
    </row>
    <row r="342">
      <c r="A342" s="158" t="s">
        <v>55</v>
      </c>
      <c r="B342" s="207" t="s">
        <v>77</v>
      </c>
      <c r="C342" s="178">
        <v>44082.0</v>
      </c>
      <c r="D342" s="179" t="s">
        <v>77</v>
      </c>
      <c r="E342" s="180">
        <v>120.0</v>
      </c>
      <c r="F342" s="163" t="s">
        <v>14</v>
      </c>
      <c r="G342" s="172" t="s">
        <v>16</v>
      </c>
    </row>
    <row r="343">
      <c r="A343" s="158" t="s">
        <v>55</v>
      </c>
      <c r="B343" s="207" t="s">
        <v>84</v>
      </c>
      <c r="C343" s="178">
        <v>44084.0</v>
      </c>
      <c r="D343" s="179" t="s">
        <v>161</v>
      </c>
      <c r="E343" s="180">
        <v>400.0</v>
      </c>
      <c r="F343" s="163" t="s">
        <v>26</v>
      </c>
      <c r="G343" s="172" t="s">
        <v>27</v>
      </c>
    </row>
    <row r="344">
      <c r="A344" s="158" t="s">
        <v>55</v>
      </c>
      <c r="B344" s="207" t="s">
        <v>95</v>
      </c>
      <c r="C344" s="178">
        <v>44086.0</v>
      </c>
      <c r="D344" s="179" t="s">
        <v>162</v>
      </c>
      <c r="E344" s="180">
        <v>23.0</v>
      </c>
      <c r="F344" s="163" t="s">
        <v>26</v>
      </c>
      <c r="G344" s="172" t="s">
        <v>27</v>
      </c>
    </row>
    <row r="345">
      <c r="A345" s="158" t="s">
        <v>55</v>
      </c>
      <c r="B345" s="207" t="s">
        <v>77</v>
      </c>
      <c r="C345" s="178">
        <v>44087.0</v>
      </c>
      <c r="D345" s="179" t="s">
        <v>77</v>
      </c>
      <c r="E345" s="180">
        <v>120.0</v>
      </c>
      <c r="F345" s="163" t="s">
        <v>26</v>
      </c>
      <c r="G345" s="172" t="s">
        <v>27</v>
      </c>
    </row>
    <row r="346">
      <c r="A346" s="158" t="s">
        <v>55</v>
      </c>
      <c r="B346" s="207" t="s">
        <v>77</v>
      </c>
      <c r="C346" s="178">
        <v>44092.0</v>
      </c>
      <c r="D346" s="179" t="s">
        <v>77</v>
      </c>
      <c r="E346" s="180">
        <v>120.0</v>
      </c>
      <c r="F346" s="163" t="s">
        <v>26</v>
      </c>
      <c r="G346" s="172" t="s">
        <v>27</v>
      </c>
    </row>
    <row r="347">
      <c r="A347" s="158" t="s">
        <v>55</v>
      </c>
      <c r="B347" s="207" t="s">
        <v>99</v>
      </c>
      <c r="C347" s="178">
        <v>44077.0</v>
      </c>
      <c r="D347" s="179" t="s">
        <v>14</v>
      </c>
      <c r="E347" s="180">
        <v>0.11</v>
      </c>
      <c r="F347" s="163" t="s">
        <v>14</v>
      </c>
      <c r="G347" s="172" t="s">
        <v>16</v>
      </c>
    </row>
    <row r="348">
      <c r="A348" s="158" t="s">
        <v>55</v>
      </c>
      <c r="B348" s="207" t="s">
        <v>99</v>
      </c>
      <c r="C348" s="178">
        <v>44096.0</v>
      </c>
      <c r="D348" s="179" t="s">
        <v>14</v>
      </c>
      <c r="E348" s="180">
        <v>0.63</v>
      </c>
      <c r="F348" s="163" t="s">
        <v>14</v>
      </c>
      <c r="G348" s="172" t="s">
        <v>16</v>
      </c>
    </row>
    <row r="349">
      <c r="A349" s="158" t="s">
        <v>55</v>
      </c>
      <c r="B349" s="207" t="s">
        <v>77</v>
      </c>
      <c r="C349" s="178">
        <v>44102.0</v>
      </c>
      <c r="D349" s="179" t="s">
        <v>77</v>
      </c>
      <c r="E349" s="180">
        <v>120.0</v>
      </c>
      <c r="F349" s="163" t="s">
        <v>26</v>
      </c>
      <c r="G349" s="172" t="s">
        <v>27</v>
      </c>
    </row>
    <row r="350">
      <c r="A350" s="158" t="s">
        <v>55</v>
      </c>
      <c r="B350" s="207" t="s">
        <v>95</v>
      </c>
      <c r="C350" s="178">
        <v>44103.0</v>
      </c>
      <c r="D350" s="179" t="s">
        <v>163</v>
      </c>
      <c r="E350" s="180">
        <v>280.0</v>
      </c>
      <c r="F350" s="163" t="s">
        <v>26</v>
      </c>
      <c r="G350" s="172" t="s">
        <v>27</v>
      </c>
    </row>
    <row r="351">
      <c r="A351" s="158" t="s">
        <v>55</v>
      </c>
      <c r="B351" s="207" t="s">
        <v>99</v>
      </c>
      <c r="C351" s="178">
        <v>44104.0</v>
      </c>
      <c r="D351" s="179" t="s">
        <v>99</v>
      </c>
      <c r="E351" s="180">
        <v>0.52</v>
      </c>
      <c r="F351" s="163" t="s">
        <v>14</v>
      </c>
      <c r="G351" s="172" t="s">
        <v>16</v>
      </c>
    </row>
    <row r="352">
      <c r="A352" s="158" t="s">
        <v>55</v>
      </c>
      <c r="B352" s="207" t="s">
        <v>91</v>
      </c>
      <c r="C352" s="178">
        <v>44104.0</v>
      </c>
      <c r="D352" s="179" t="s">
        <v>164</v>
      </c>
      <c r="E352" s="180">
        <v>60.0</v>
      </c>
      <c r="F352" s="163" t="s">
        <v>26</v>
      </c>
      <c r="G352" s="172" t="s">
        <v>27</v>
      </c>
    </row>
    <row r="353">
      <c r="A353" s="158" t="s">
        <v>55</v>
      </c>
      <c r="B353" s="207" t="s">
        <v>95</v>
      </c>
      <c r="C353" s="178">
        <v>44104.0</v>
      </c>
      <c r="D353" s="179" t="s">
        <v>165</v>
      </c>
      <c r="E353" s="180">
        <v>300.0</v>
      </c>
      <c r="F353" s="163" t="s">
        <v>22</v>
      </c>
      <c r="G353" s="172" t="s">
        <v>24</v>
      </c>
    </row>
    <row r="354">
      <c r="A354" s="158" t="s">
        <v>55</v>
      </c>
      <c r="B354" s="207"/>
      <c r="C354" s="178"/>
      <c r="D354" s="179"/>
      <c r="E354" s="180"/>
      <c r="F354" s="163"/>
      <c r="G354" s="176"/>
    </row>
    <row r="355">
      <c r="A355" s="158" t="s">
        <v>55</v>
      </c>
      <c r="B355" s="207"/>
      <c r="C355" s="178"/>
      <c r="D355" s="179"/>
      <c r="E355" s="180"/>
      <c r="F355" s="163"/>
      <c r="G355" s="176"/>
    </row>
    <row r="356">
      <c r="A356" s="158" t="s">
        <v>55</v>
      </c>
      <c r="B356" s="207"/>
      <c r="C356" s="178"/>
      <c r="D356" s="179"/>
      <c r="E356" s="180"/>
      <c r="F356" s="163"/>
      <c r="G356" s="176"/>
    </row>
    <row r="357">
      <c r="A357" s="158" t="s">
        <v>55</v>
      </c>
      <c r="B357" s="207"/>
      <c r="C357" s="178"/>
      <c r="D357" s="179"/>
      <c r="E357" s="180"/>
      <c r="F357" s="163"/>
      <c r="G357" s="176"/>
    </row>
    <row r="358">
      <c r="A358" s="158" t="s">
        <v>55</v>
      </c>
      <c r="B358" s="207"/>
      <c r="C358" s="178"/>
      <c r="D358" s="179"/>
      <c r="E358" s="180"/>
      <c r="F358" s="163"/>
      <c r="G358" s="176"/>
    </row>
    <row r="359">
      <c r="A359" s="158" t="s">
        <v>55</v>
      </c>
      <c r="B359" s="207"/>
      <c r="C359" s="178"/>
      <c r="D359" s="179"/>
      <c r="E359" s="180"/>
      <c r="F359" s="163"/>
      <c r="G359" s="176"/>
    </row>
    <row r="360">
      <c r="A360" s="158" t="s">
        <v>55</v>
      </c>
      <c r="B360" s="207"/>
      <c r="C360" s="178"/>
      <c r="D360" s="179"/>
      <c r="E360" s="180"/>
      <c r="F360" s="163"/>
      <c r="G360" s="176"/>
    </row>
    <row r="361">
      <c r="A361" s="158" t="s">
        <v>55</v>
      </c>
      <c r="B361" s="207"/>
      <c r="C361" s="178"/>
      <c r="D361" s="179"/>
      <c r="E361" s="180"/>
      <c r="F361" s="163"/>
      <c r="G361" s="176"/>
    </row>
    <row r="362">
      <c r="A362" s="158" t="s">
        <v>55</v>
      </c>
      <c r="B362" s="207"/>
      <c r="C362" s="178"/>
      <c r="D362" s="179"/>
      <c r="E362" s="180"/>
      <c r="F362" s="163"/>
      <c r="G362" s="176"/>
    </row>
    <row r="363">
      <c r="A363" s="158" t="s">
        <v>55</v>
      </c>
      <c r="B363" s="207"/>
      <c r="C363" s="178"/>
      <c r="D363" s="179"/>
      <c r="E363" s="180"/>
      <c r="F363" s="163"/>
      <c r="G363" s="172"/>
    </row>
    <row r="364">
      <c r="A364" s="158" t="s">
        <v>55</v>
      </c>
      <c r="B364" s="207"/>
      <c r="C364" s="178"/>
      <c r="D364" s="179"/>
      <c r="E364" s="180"/>
      <c r="F364" s="163"/>
      <c r="G364" s="172"/>
    </row>
    <row r="365">
      <c r="A365" s="158" t="s">
        <v>55</v>
      </c>
      <c r="B365" s="207"/>
      <c r="C365" s="178"/>
      <c r="D365" s="179"/>
      <c r="E365" s="180"/>
      <c r="F365" s="163"/>
      <c r="G365" s="172"/>
    </row>
    <row r="366">
      <c r="A366" s="158" t="s">
        <v>55</v>
      </c>
      <c r="B366" s="207"/>
      <c r="C366" s="178"/>
      <c r="D366" s="179"/>
      <c r="E366" s="180"/>
      <c r="F366" s="163"/>
      <c r="G366" s="172"/>
    </row>
    <row r="367">
      <c r="A367" s="158" t="s">
        <v>55</v>
      </c>
      <c r="B367" s="207"/>
      <c r="C367" s="178"/>
      <c r="D367" s="179"/>
      <c r="E367" s="180"/>
      <c r="F367" s="163"/>
      <c r="G367" s="172"/>
    </row>
    <row r="368">
      <c r="A368" s="158" t="s">
        <v>55</v>
      </c>
      <c r="B368" s="207"/>
      <c r="C368" s="178"/>
      <c r="D368" s="179"/>
      <c r="E368" s="180"/>
      <c r="F368" s="163"/>
      <c r="G368" s="172"/>
    </row>
    <row r="369">
      <c r="A369" s="158" t="s">
        <v>55</v>
      </c>
      <c r="B369" s="207"/>
      <c r="C369" s="178"/>
      <c r="D369" s="179"/>
      <c r="E369" s="180"/>
      <c r="F369" s="163"/>
      <c r="G369" s="172"/>
    </row>
    <row r="370">
      <c r="A370" s="158" t="s">
        <v>55</v>
      </c>
      <c r="B370" s="207"/>
      <c r="C370" s="178"/>
      <c r="D370" s="179"/>
      <c r="E370" s="180"/>
      <c r="F370" s="163"/>
      <c r="G370" s="172"/>
    </row>
    <row r="371">
      <c r="A371" s="158" t="s">
        <v>55</v>
      </c>
      <c r="B371" s="207"/>
      <c r="C371" s="178"/>
      <c r="D371" s="179"/>
      <c r="E371" s="180"/>
      <c r="F371" s="163"/>
      <c r="G371" s="172"/>
    </row>
    <row r="372">
      <c r="A372" s="158" t="s">
        <v>55</v>
      </c>
      <c r="B372" s="207"/>
      <c r="C372" s="178"/>
      <c r="D372" s="179"/>
      <c r="E372" s="180"/>
      <c r="F372" s="163"/>
      <c r="G372" s="172"/>
    </row>
    <row r="373">
      <c r="A373" s="158" t="s">
        <v>55</v>
      </c>
      <c r="B373" s="207"/>
      <c r="C373" s="178"/>
      <c r="D373" s="179"/>
      <c r="E373" s="180"/>
      <c r="F373" s="163"/>
      <c r="G373" s="172"/>
    </row>
    <row r="374">
      <c r="A374" s="158" t="s">
        <v>55</v>
      </c>
      <c r="B374" s="207"/>
      <c r="C374" s="178"/>
      <c r="D374" s="179"/>
      <c r="E374" s="180"/>
      <c r="F374" s="163"/>
      <c r="G374" s="172"/>
    </row>
    <row r="375">
      <c r="A375" s="158" t="s">
        <v>55</v>
      </c>
      <c r="B375" s="207"/>
      <c r="C375" s="178"/>
      <c r="D375" s="179"/>
      <c r="E375" s="180"/>
      <c r="F375" s="163"/>
      <c r="G375" s="172"/>
    </row>
    <row r="376">
      <c r="A376" s="158" t="s">
        <v>55</v>
      </c>
      <c r="B376" s="207"/>
      <c r="C376" s="178"/>
      <c r="D376" s="179"/>
      <c r="E376" s="180"/>
      <c r="F376" s="163"/>
      <c r="G376" s="172"/>
    </row>
    <row r="377">
      <c r="A377" s="158" t="s">
        <v>55</v>
      </c>
      <c r="B377" s="207"/>
      <c r="C377" s="178"/>
      <c r="D377" s="179"/>
      <c r="E377" s="180"/>
      <c r="F377" s="163"/>
      <c r="G377" s="172"/>
    </row>
    <row r="378">
      <c r="A378" s="158" t="s">
        <v>55</v>
      </c>
      <c r="B378" s="207"/>
      <c r="C378" s="178"/>
      <c r="D378" s="179"/>
      <c r="E378" s="180"/>
      <c r="F378" s="163"/>
      <c r="G378" s="172"/>
    </row>
    <row r="379">
      <c r="A379" s="183" t="s">
        <v>55</v>
      </c>
      <c r="B379" s="208"/>
      <c r="C379" s="194"/>
      <c r="D379" s="195"/>
      <c r="E379" s="196"/>
      <c r="F379" s="197"/>
      <c r="G379" s="184"/>
    </row>
    <row r="380">
      <c r="E380" s="205"/>
    </row>
    <row r="381">
      <c r="A381" s="148" t="s">
        <v>56</v>
      </c>
      <c r="B381" s="187" t="s">
        <v>77</v>
      </c>
      <c r="C381" s="188">
        <v>44106.0</v>
      </c>
      <c r="D381" s="189" t="s">
        <v>77</v>
      </c>
      <c r="E381" s="202">
        <v>120.0</v>
      </c>
      <c r="F381" s="153" t="s">
        <v>26</v>
      </c>
      <c r="G381" s="191" t="s">
        <v>27</v>
      </c>
    </row>
    <row r="382">
      <c r="A382" s="158" t="s">
        <v>56</v>
      </c>
      <c r="B382" s="159" t="s">
        <v>91</v>
      </c>
      <c r="C382" s="178">
        <v>44106.0</v>
      </c>
      <c r="D382" s="179" t="s">
        <v>166</v>
      </c>
      <c r="E382" s="204">
        <v>112.0</v>
      </c>
      <c r="F382" s="163" t="s">
        <v>22</v>
      </c>
      <c r="G382" s="172" t="s">
        <v>24</v>
      </c>
    </row>
    <row r="383">
      <c r="A383" s="158" t="s">
        <v>56</v>
      </c>
      <c r="B383" s="159" t="s">
        <v>95</v>
      </c>
      <c r="C383" s="178">
        <v>44108.0</v>
      </c>
      <c r="D383" s="179" t="s">
        <v>167</v>
      </c>
      <c r="E383" s="180">
        <v>16.5</v>
      </c>
      <c r="F383" s="163" t="s">
        <v>26</v>
      </c>
      <c r="G383" s="172" t="s">
        <v>27</v>
      </c>
    </row>
    <row r="384">
      <c r="A384" s="158" t="s">
        <v>56</v>
      </c>
      <c r="B384" s="159" t="s">
        <v>95</v>
      </c>
      <c r="C384" s="178">
        <v>44109.0</v>
      </c>
      <c r="D384" s="179" t="s">
        <v>168</v>
      </c>
      <c r="E384" s="180">
        <v>72.0</v>
      </c>
      <c r="F384" s="163" t="s">
        <v>26</v>
      </c>
      <c r="G384" s="172" t="s">
        <v>27</v>
      </c>
    </row>
    <row r="385">
      <c r="A385" s="158" t="s">
        <v>56</v>
      </c>
      <c r="B385" s="159" t="s">
        <v>95</v>
      </c>
      <c r="C385" s="178">
        <v>44109.0</v>
      </c>
      <c r="D385" s="179" t="s">
        <v>169</v>
      </c>
      <c r="E385" s="180">
        <v>78.9</v>
      </c>
      <c r="F385" s="163" t="s">
        <v>26</v>
      </c>
      <c r="G385" s="172" t="s">
        <v>27</v>
      </c>
    </row>
    <row r="386">
      <c r="A386" s="158" t="s">
        <v>56</v>
      </c>
      <c r="B386" s="159" t="s">
        <v>77</v>
      </c>
      <c r="C386" s="178">
        <v>44113.0</v>
      </c>
      <c r="D386" s="179" t="s">
        <v>77</v>
      </c>
      <c r="E386" s="180">
        <v>120.0</v>
      </c>
      <c r="F386" s="163" t="s">
        <v>26</v>
      </c>
      <c r="G386" s="172" t="s">
        <v>27</v>
      </c>
    </row>
    <row r="387">
      <c r="A387" s="158" t="s">
        <v>56</v>
      </c>
      <c r="B387" s="159" t="s">
        <v>84</v>
      </c>
      <c r="C387" s="178">
        <v>44110.0</v>
      </c>
      <c r="D387" s="179" t="s">
        <v>161</v>
      </c>
      <c r="E387" s="180">
        <v>400.0</v>
      </c>
      <c r="F387" s="163" t="s">
        <v>26</v>
      </c>
      <c r="G387" s="172" t="s">
        <v>27</v>
      </c>
    </row>
    <row r="388">
      <c r="A388" s="158" t="s">
        <v>56</v>
      </c>
      <c r="B388" s="159" t="s">
        <v>95</v>
      </c>
      <c r="C388" s="178">
        <v>44119.0</v>
      </c>
      <c r="D388" s="179" t="s">
        <v>170</v>
      </c>
      <c r="E388" s="180">
        <v>6.0</v>
      </c>
      <c r="F388" s="163" t="s">
        <v>22</v>
      </c>
      <c r="G388" s="172" t="s">
        <v>24</v>
      </c>
    </row>
    <row r="389">
      <c r="A389" s="158" t="s">
        <v>56</v>
      </c>
      <c r="B389" s="159" t="s">
        <v>77</v>
      </c>
      <c r="C389" s="178">
        <v>44123.0</v>
      </c>
      <c r="D389" s="179" t="s">
        <v>77</v>
      </c>
      <c r="E389" s="180">
        <v>120.0</v>
      </c>
      <c r="F389" s="163" t="s">
        <v>26</v>
      </c>
      <c r="G389" s="172" t="s">
        <v>27</v>
      </c>
    </row>
    <row r="390">
      <c r="A390" s="158" t="s">
        <v>56</v>
      </c>
      <c r="B390" s="159" t="s">
        <v>95</v>
      </c>
      <c r="C390" s="178">
        <v>44123.0</v>
      </c>
      <c r="D390" s="179" t="s">
        <v>171</v>
      </c>
      <c r="E390" s="180">
        <v>18.0</v>
      </c>
      <c r="F390" s="163" t="s">
        <v>26</v>
      </c>
      <c r="G390" s="172" t="s">
        <v>27</v>
      </c>
    </row>
    <row r="391">
      <c r="A391" s="158" t="s">
        <v>56</v>
      </c>
      <c r="B391" s="159" t="s">
        <v>95</v>
      </c>
      <c r="C391" s="178">
        <v>44125.0</v>
      </c>
      <c r="D391" s="179" t="s">
        <v>172</v>
      </c>
      <c r="E391" s="180">
        <v>151.4</v>
      </c>
      <c r="F391" s="163" t="s">
        <v>26</v>
      </c>
      <c r="G391" s="172" t="s">
        <v>27</v>
      </c>
    </row>
    <row r="392">
      <c r="A392" s="158" t="s">
        <v>56</v>
      </c>
      <c r="B392" s="159" t="s">
        <v>77</v>
      </c>
      <c r="C392" s="178">
        <v>44127.0</v>
      </c>
      <c r="D392" s="179" t="s">
        <v>77</v>
      </c>
      <c r="E392" s="180">
        <v>120.0</v>
      </c>
      <c r="F392" s="163" t="s">
        <v>26</v>
      </c>
      <c r="G392" s="172" t="s">
        <v>27</v>
      </c>
    </row>
    <row r="393">
      <c r="A393" s="158" t="s">
        <v>56</v>
      </c>
      <c r="B393" s="159" t="s">
        <v>95</v>
      </c>
      <c r="C393" s="178">
        <v>44133.0</v>
      </c>
      <c r="D393" s="179" t="s">
        <v>173</v>
      </c>
      <c r="E393" s="180">
        <v>4.0</v>
      </c>
      <c r="F393" s="163" t="s">
        <v>22</v>
      </c>
      <c r="G393" s="172" t="s">
        <v>24</v>
      </c>
    </row>
    <row r="394">
      <c r="A394" s="158" t="s">
        <v>56</v>
      </c>
      <c r="B394" s="159" t="s">
        <v>77</v>
      </c>
      <c r="C394" s="178">
        <v>44134.0</v>
      </c>
      <c r="D394" s="179" t="s">
        <v>77</v>
      </c>
      <c r="E394" s="180">
        <v>120.0</v>
      </c>
      <c r="F394" s="163" t="s">
        <v>26</v>
      </c>
      <c r="G394" s="172" t="s">
        <v>27</v>
      </c>
    </row>
    <row r="395">
      <c r="A395" s="158" t="s">
        <v>56</v>
      </c>
      <c r="B395" s="159" t="s">
        <v>95</v>
      </c>
      <c r="C395" s="178">
        <v>44134.0</v>
      </c>
      <c r="D395" s="179" t="s">
        <v>174</v>
      </c>
      <c r="E395" s="180">
        <v>200.0</v>
      </c>
      <c r="F395" s="163" t="s">
        <v>22</v>
      </c>
      <c r="G395" s="172" t="s">
        <v>24</v>
      </c>
    </row>
    <row r="396">
      <c r="A396" s="158" t="s">
        <v>56</v>
      </c>
      <c r="B396" s="159" t="s">
        <v>99</v>
      </c>
      <c r="C396" s="178">
        <v>44135.0</v>
      </c>
      <c r="D396" s="179" t="s">
        <v>175</v>
      </c>
      <c r="E396" s="180">
        <v>2.03</v>
      </c>
      <c r="F396" s="163" t="s">
        <v>14</v>
      </c>
      <c r="G396" s="172" t="s">
        <v>16</v>
      </c>
    </row>
    <row r="397">
      <c r="A397" s="158" t="s">
        <v>56</v>
      </c>
      <c r="B397" s="159"/>
      <c r="C397" s="178"/>
      <c r="D397" s="179"/>
      <c r="E397" s="180"/>
      <c r="F397" s="163"/>
      <c r="G397" s="176"/>
    </row>
    <row r="398">
      <c r="A398" s="158" t="s">
        <v>56</v>
      </c>
      <c r="B398" s="159"/>
      <c r="C398" s="178"/>
      <c r="D398" s="179"/>
      <c r="E398" s="180"/>
      <c r="F398" s="163"/>
      <c r="G398" s="176"/>
    </row>
    <row r="399">
      <c r="A399" s="158" t="s">
        <v>56</v>
      </c>
      <c r="B399" s="159"/>
      <c r="C399" s="178"/>
      <c r="D399" s="179"/>
      <c r="E399" s="180"/>
      <c r="F399" s="163"/>
      <c r="G399" s="176"/>
    </row>
    <row r="400">
      <c r="A400" s="158" t="s">
        <v>56</v>
      </c>
      <c r="B400" s="159"/>
      <c r="C400" s="178"/>
      <c r="D400" s="179"/>
      <c r="E400" s="180"/>
      <c r="F400" s="163"/>
      <c r="G400" s="176"/>
    </row>
    <row r="401">
      <c r="A401" s="158" t="s">
        <v>56</v>
      </c>
      <c r="B401" s="159"/>
      <c r="C401" s="178"/>
      <c r="D401" s="179"/>
      <c r="E401" s="180"/>
      <c r="F401" s="163"/>
      <c r="G401" s="176"/>
    </row>
    <row r="402">
      <c r="A402" s="158" t="s">
        <v>56</v>
      </c>
      <c r="B402" s="159"/>
      <c r="C402" s="178"/>
      <c r="D402" s="179"/>
      <c r="E402" s="180"/>
      <c r="F402" s="163"/>
      <c r="G402" s="176"/>
    </row>
    <row r="403">
      <c r="A403" s="158" t="s">
        <v>56</v>
      </c>
      <c r="B403" s="159"/>
      <c r="C403" s="178"/>
      <c r="D403" s="179"/>
      <c r="E403" s="180"/>
      <c r="F403" s="163"/>
      <c r="G403" s="176"/>
    </row>
    <row r="404">
      <c r="A404" s="158" t="s">
        <v>56</v>
      </c>
      <c r="B404" s="159"/>
      <c r="C404" s="178"/>
      <c r="D404" s="179"/>
      <c r="E404" s="180"/>
      <c r="F404" s="163"/>
      <c r="G404" s="176"/>
    </row>
    <row r="405">
      <c r="A405" s="158" t="s">
        <v>56</v>
      </c>
      <c r="B405" s="159"/>
      <c r="C405" s="178"/>
      <c r="D405" s="179"/>
      <c r="E405" s="180"/>
      <c r="F405" s="163"/>
      <c r="G405" s="172"/>
    </row>
    <row r="406">
      <c r="A406" s="158" t="s">
        <v>56</v>
      </c>
      <c r="B406" s="159"/>
      <c r="C406" s="178"/>
      <c r="D406" s="179"/>
      <c r="E406" s="180"/>
      <c r="F406" s="163"/>
      <c r="G406" s="172"/>
    </row>
    <row r="407">
      <c r="A407" s="158" t="s">
        <v>56</v>
      </c>
      <c r="B407" s="159"/>
      <c r="C407" s="178"/>
      <c r="D407" s="179"/>
      <c r="E407" s="180"/>
      <c r="F407" s="163"/>
      <c r="G407" s="172"/>
    </row>
    <row r="408">
      <c r="A408" s="158" t="s">
        <v>56</v>
      </c>
      <c r="B408" s="159"/>
      <c r="C408" s="178"/>
      <c r="D408" s="179"/>
      <c r="E408" s="180"/>
      <c r="F408" s="163"/>
      <c r="G408" s="172"/>
    </row>
    <row r="409">
      <c r="A409" s="158" t="s">
        <v>56</v>
      </c>
      <c r="B409" s="159"/>
      <c r="C409" s="178"/>
      <c r="D409" s="179"/>
      <c r="E409" s="180"/>
      <c r="F409" s="163"/>
      <c r="G409" s="172"/>
    </row>
    <row r="410">
      <c r="A410" s="158" t="s">
        <v>56</v>
      </c>
      <c r="B410" s="159"/>
      <c r="C410" s="178"/>
      <c r="D410" s="179"/>
      <c r="E410" s="180"/>
      <c r="F410" s="163"/>
      <c r="G410" s="172"/>
    </row>
    <row r="411">
      <c r="A411" s="158" t="s">
        <v>56</v>
      </c>
      <c r="B411" s="159"/>
      <c r="C411" s="178"/>
      <c r="D411" s="179"/>
      <c r="E411" s="180"/>
      <c r="F411" s="163"/>
      <c r="G411" s="172"/>
    </row>
    <row r="412">
      <c r="A412" s="158" t="s">
        <v>56</v>
      </c>
      <c r="B412" s="159"/>
      <c r="C412" s="178"/>
      <c r="D412" s="179"/>
      <c r="E412" s="180"/>
      <c r="F412" s="163"/>
      <c r="G412" s="172"/>
    </row>
    <row r="413">
      <c r="A413" s="158" t="s">
        <v>56</v>
      </c>
      <c r="B413" s="159"/>
      <c r="C413" s="178"/>
      <c r="D413" s="179"/>
      <c r="E413" s="180"/>
      <c r="F413" s="163"/>
      <c r="G413" s="172"/>
    </row>
    <row r="414">
      <c r="A414" s="158" t="s">
        <v>56</v>
      </c>
      <c r="B414" s="159"/>
      <c r="C414" s="178"/>
      <c r="D414" s="179"/>
      <c r="E414" s="180"/>
      <c r="F414" s="163"/>
      <c r="G414" s="172"/>
    </row>
    <row r="415">
      <c r="A415" s="158" t="s">
        <v>56</v>
      </c>
      <c r="B415" s="159"/>
      <c r="C415" s="178"/>
      <c r="D415" s="179"/>
      <c r="E415" s="180"/>
      <c r="F415" s="163"/>
      <c r="G415" s="172"/>
    </row>
    <row r="416">
      <c r="A416" s="158" t="s">
        <v>56</v>
      </c>
      <c r="B416" s="159"/>
      <c r="C416" s="178"/>
      <c r="D416" s="179"/>
      <c r="E416" s="180"/>
      <c r="F416" s="163"/>
      <c r="G416" s="172"/>
    </row>
    <row r="417">
      <c r="A417" s="158" t="s">
        <v>56</v>
      </c>
      <c r="B417" s="159"/>
      <c r="C417" s="178"/>
      <c r="D417" s="179"/>
      <c r="E417" s="180"/>
      <c r="F417" s="163"/>
      <c r="G417" s="172"/>
    </row>
    <row r="418">
      <c r="A418" s="158" t="s">
        <v>56</v>
      </c>
      <c r="B418" s="159"/>
      <c r="C418" s="178"/>
      <c r="D418" s="179"/>
      <c r="E418" s="180"/>
      <c r="F418" s="163"/>
      <c r="G418" s="172"/>
    </row>
    <row r="419">
      <c r="A419" s="158" t="s">
        <v>56</v>
      </c>
      <c r="B419" s="159"/>
      <c r="C419" s="178"/>
      <c r="D419" s="179"/>
      <c r="E419" s="180"/>
      <c r="F419" s="163"/>
      <c r="G419" s="172"/>
    </row>
    <row r="420">
      <c r="A420" s="158" t="s">
        <v>56</v>
      </c>
      <c r="B420" s="159"/>
      <c r="C420" s="178"/>
      <c r="D420" s="179"/>
      <c r="E420" s="180"/>
      <c r="F420" s="163"/>
      <c r="G420" s="172"/>
    </row>
    <row r="421">
      <c r="A421" s="183" t="s">
        <v>56</v>
      </c>
      <c r="B421" s="193"/>
      <c r="C421" s="194"/>
      <c r="D421" s="195"/>
      <c r="E421" s="196"/>
      <c r="F421" s="197"/>
      <c r="G421" s="184"/>
    </row>
    <row r="422">
      <c r="E422" s="205"/>
    </row>
    <row r="423">
      <c r="A423" s="148" t="s">
        <v>57</v>
      </c>
      <c r="B423" s="187" t="s">
        <v>95</v>
      </c>
      <c r="C423" s="188">
        <v>44137.0</v>
      </c>
      <c r="D423" s="189" t="s">
        <v>176</v>
      </c>
      <c r="E423" s="190">
        <v>117.0</v>
      </c>
      <c r="F423" s="153" t="s">
        <v>22</v>
      </c>
      <c r="G423" s="191" t="s">
        <v>24</v>
      </c>
    </row>
    <row r="424">
      <c r="A424" s="158" t="s">
        <v>57</v>
      </c>
      <c r="B424" s="159" t="s">
        <v>95</v>
      </c>
      <c r="C424" s="178">
        <v>44138.0</v>
      </c>
      <c r="D424" s="179" t="s">
        <v>177</v>
      </c>
      <c r="E424" s="180">
        <v>92.0</v>
      </c>
      <c r="F424" s="163" t="s">
        <v>26</v>
      </c>
      <c r="G424" s="172" t="s">
        <v>27</v>
      </c>
    </row>
    <row r="425">
      <c r="A425" s="158" t="s">
        <v>57</v>
      </c>
      <c r="B425" s="159" t="s">
        <v>95</v>
      </c>
      <c r="C425" s="178">
        <v>44138.0</v>
      </c>
      <c r="D425" s="179" t="s">
        <v>178</v>
      </c>
      <c r="E425" s="180">
        <v>2.0</v>
      </c>
      <c r="F425" s="163" t="s">
        <v>22</v>
      </c>
      <c r="G425" s="172" t="s">
        <v>24</v>
      </c>
    </row>
    <row r="426">
      <c r="A426" s="158" t="s">
        <v>57</v>
      </c>
      <c r="B426" s="159" t="s">
        <v>91</v>
      </c>
      <c r="C426" s="178">
        <v>44138.0</v>
      </c>
      <c r="D426" s="179" t="s">
        <v>179</v>
      </c>
      <c r="E426" s="180">
        <v>60.0</v>
      </c>
      <c r="F426" s="163" t="s">
        <v>14</v>
      </c>
      <c r="G426" s="172" t="s">
        <v>16</v>
      </c>
    </row>
    <row r="427">
      <c r="A427" s="158" t="s">
        <v>57</v>
      </c>
      <c r="B427" s="159" t="s">
        <v>84</v>
      </c>
      <c r="C427" s="178">
        <v>44139.0</v>
      </c>
      <c r="D427" s="179" t="s">
        <v>161</v>
      </c>
      <c r="E427" s="180">
        <v>400.0</v>
      </c>
      <c r="F427" s="163" t="s">
        <v>26</v>
      </c>
      <c r="G427" s="172" t="s">
        <v>27</v>
      </c>
    </row>
    <row r="428">
      <c r="A428" s="158" t="s">
        <v>57</v>
      </c>
      <c r="B428" s="159" t="s">
        <v>95</v>
      </c>
      <c r="C428" s="178">
        <v>44140.0</v>
      </c>
      <c r="D428" s="179" t="s">
        <v>169</v>
      </c>
      <c r="E428" s="180">
        <v>76.0</v>
      </c>
      <c r="F428" s="163" t="s">
        <v>26</v>
      </c>
      <c r="G428" s="172" t="s">
        <v>27</v>
      </c>
    </row>
    <row r="429">
      <c r="A429" s="158" t="s">
        <v>57</v>
      </c>
      <c r="B429" s="159" t="s">
        <v>77</v>
      </c>
      <c r="C429" s="178">
        <v>44141.0</v>
      </c>
      <c r="D429" s="179" t="s">
        <v>77</v>
      </c>
      <c r="E429" s="180">
        <v>120.0</v>
      </c>
      <c r="F429" s="163" t="s">
        <v>26</v>
      </c>
      <c r="G429" s="172" t="s">
        <v>27</v>
      </c>
    </row>
    <row r="430">
      <c r="A430" s="158" t="s">
        <v>57</v>
      </c>
      <c r="B430" s="159" t="s">
        <v>95</v>
      </c>
      <c r="C430" s="178">
        <v>44141.0</v>
      </c>
      <c r="D430" s="179" t="s">
        <v>180</v>
      </c>
      <c r="E430" s="180">
        <v>8.76</v>
      </c>
      <c r="F430" s="163" t="s">
        <v>26</v>
      </c>
      <c r="G430" s="172" t="s">
        <v>27</v>
      </c>
    </row>
    <row r="431">
      <c r="A431" s="158" t="s">
        <v>57</v>
      </c>
      <c r="B431" s="159" t="s">
        <v>95</v>
      </c>
      <c r="C431" s="178">
        <v>44144.0</v>
      </c>
      <c r="D431" s="179" t="s">
        <v>180</v>
      </c>
      <c r="E431" s="180">
        <v>100.0</v>
      </c>
      <c r="F431" s="163" t="s">
        <v>26</v>
      </c>
      <c r="G431" s="172" t="s">
        <v>27</v>
      </c>
    </row>
    <row r="432">
      <c r="A432" s="158" t="s">
        <v>57</v>
      </c>
      <c r="B432" s="159" t="s">
        <v>77</v>
      </c>
      <c r="C432" s="178">
        <v>44148.0</v>
      </c>
      <c r="D432" s="179" t="s">
        <v>77</v>
      </c>
      <c r="E432" s="180">
        <v>120.0</v>
      </c>
      <c r="F432" s="163" t="s">
        <v>26</v>
      </c>
      <c r="G432" s="172" t="s">
        <v>27</v>
      </c>
    </row>
    <row r="433">
      <c r="A433" s="158" t="s">
        <v>57</v>
      </c>
      <c r="B433" s="159" t="s">
        <v>95</v>
      </c>
      <c r="C433" s="178">
        <v>44148.0</v>
      </c>
      <c r="D433" s="179" t="s">
        <v>181</v>
      </c>
      <c r="E433" s="180">
        <v>150.0</v>
      </c>
      <c r="F433" s="163" t="s">
        <v>26</v>
      </c>
      <c r="G433" s="172" t="s">
        <v>27</v>
      </c>
    </row>
    <row r="434">
      <c r="A434" s="158" t="s">
        <v>57</v>
      </c>
      <c r="B434" s="159" t="s">
        <v>77</v>
      </c>
      <c r="C434" s="178">
        <v>44155.0</v>
      </c>
      <c r="D434" s="179" t="s">
        <v>77</v>
      </c>
      <c r="E434" s="180">
        <v>120.0</v>
      </c>
      <c r="F434" s="163" t="s">
        <v>26</v>
      </c>
      <c r="G434" s="172" t="s">
        <v>27</v>
      </c>
    </row>
    <row r="435">
      <c r="A435" s="158" t="s">
        <v>57</v>
      </c>
      <c r="B435" s="159" t="s">
        <v>77</v>
      </c>
      <c r="C435" s="178">
        <v>44162.0</v>
      </c>
      <c r="D435" s="179" t="s">
        <v>77</v>
      </c>
      <c r="E435" s="180">
        <v>120.0</v>
      </c>
      <c r="F435" s="163" t="s">
        <v>26</v>
      </c>
      <c r="G435" s="172" t="s">
        <v>27</v>
      </c>
    </row>
    <row r="436">
      <c r="A436" s="158" t="s">
        <v>57</v>
      </c>
      <c r="B436" s="159" t="s">
        <v>95</v>
      </c>
      <c r="C436" s="178">
        <v>44162.0</v>
      </c>
      <c r="D436" s="179" t="s">
        <v>97</v>
      </c>
      <c r="E436" s="180">
        <v>120.0</v>
      </c>
      <c r="F436" s="163" t="s">
        <v>26</v>
      </c>
      <c r="G436" s="172" t="s">
        <v>27</v>
      </c>
    </row>
    <row r="437">
      <c r="A437" s="158" t="s">
        <v>57</v>
      </c>
      <c r="B437" s="159" t="s">
        <v>95</v>
      </c>
      <c r="C437" s="178">
        <v>44162.0</v>
      </c>
      <c r="D437" s="179" t="s">
        <v>182</v>
      </c>
      <c r="E437" s="180">
        <v>1000.0</v>
      </c>
      <c r="F437" s="163" t="s">
        <v>22</v>
      </c>
      <c r="G437" s="172" t="s">
        <v>24</v>
      </c>
    </row>
    <row r="438">
      <c r="A438" s="158" t="s">
        <v>57</v>
      </c>
      <c r="B438" s="159" t="s">
        <v>99</v>
      </c>
      <c r="C438" s="178">
        <v>44165.0</v>
      </c>
      <c r="D438" s="179" t="s">
        <v>183</v>
      </c>
      <c r="E438" s="180">
        <v>1.05</v>
      </c>
      <c r="F438" s="163" t="s">
        <v>14</v>
      </c>
      <c r="G438" s="172" t="s">
        <v>16</v>
      </c>
    </row>
    <row r="439">
      <c r="A439" s="158" t="s">
        <v>57</v>
      </c>
      <c r="B439" s="159" t="s">
        <v>95</v>
      </c>
      <c r="C439" s="178">
        <v>44165.0</v>
      </c>
      <c r="D439" s="179" t="s">
        <v>184</v>
      </c>
      <c r="E439" s="180">
        <v>13.0</v>
      </c>
      <c r="F439" s="163" t="s">
        <v>26</v>
      </c>
      <c r="G439" s="172" t="s">
        <v>27</v>
      </c>
    </row>
    <row r="440">
      <c r="A440" s="158" t="s">
        <v>57</v>
      </c>
      <c r="B440" s="159"/>
      <c r="C440" s="179"/>
      <c r="D440" s="179"/>
      <c r="E440" s="180"/>
      <c r="F440" s="163"/>
      <c r="G440" s="176"/>
    </row>
    <row r="441">
      <c r="A441" s="158" t="s">
        <v>57</v>
      </c>
      <c r="B441" s="159"/>
      <c r="C441" s="178"/>
      <c r="D441" s="179"/>
      <c r="E441" s="180"/>
      <c r="F441" s="163"/>
      <c r="G441" s="176"/>
    </row>
    <row r="442">
      <c r="A442" s="158" t="s">
        <v>57</v>
      </c>
      <c r="B442" s="159"/>
      <c r="C442" s="178"/>
      <c r="D442" s="179"/>
      <c r="E442" s="180"/>
      <c r="F442" s="163"/>
      <c r="G442" s="176"/>
    </row>
    <row r="443">
      <c r="A443" s="158" t="s">
        <v>57</v>
      </c>
      <c r="B443" s="159"/>
      <c r="C443" s="178"/>
      <c r="D443" s="179"/>
      <c r="E443" s="180"/>
      <c r="F443" s="163"/>
      <c r="G443" s="176"/>
    </row>
    <row r="444">
      <c r="A444" s="158" t="s">
        <v>57</v>
      </c>
      <c r="B444" s="159"/>
      <c r="C444" s="178"/>
      <c r="D444" s="179"/>
      <c r="E444" s="180"/>
      <c r="F444" s="163"/>
      <c r="G444" s="176"/>
    </row>
    <row r="445">
      <c r="A445" s="158" t="s">
        <v>57</v>
      </c>
      <c r="B445" s="159"/>
      <c r="C445" s="178"/>
      <c r="D445" s="179"/>
      <c r="E445" s="180"/>
      <c r="F445" s="163"/>
      <c r="G445" s="176"/>
    </row>
    <row r="446">
      <c r="A446" s="158" t="s">
        <v>57</v>
      </c>
      <c r="B446" s="159"/>
      <c r="C446" s="178"/>
      <c r="D446" s="179"/>
      <c r="E446" s="180"/>
      <c r="F446" s="163"/>
      <c r="G446" s="176"/>
    </row>
    <row r="447">
      <c r="A447" s="158" t="s">
        <v>57</v>
      </c>
      <c r="B447" s="159"/>
      <c r="C447" s="178"/>
      <c r="D447" s="179"/>
      <c r="E447" s="180"/>
      <c r="F447" s="163"/>
      <c r="G447" s="172"/>
    </row>
    <row r="448">
      <c r="A448" s="158" t="s">
        <v>57</v>
      </c>
      <c r="B448" s="159"/>
      <c r="C448" s="178"/>
      <c r="D448" s="179"/>
      <c r="E448" s="180"/>
      <c r="F448" s="163"/>
      <c r="G448" s="172"/>
    </row>
    <row r="449">
      <c r="A449" s="158" t="s">
        <v>57</v>
      </c>
      <c r="B449" s="159"/>
      <c r="C449" s="178"/>
      <c r="D449" s="179"/>
      <c r="E449" s="180"/>
      <c r="F449" s="163"/>
      <c r="G449" s="172"/>
    </row>
    <row r="450">
      <c r="A450" s="158" t="s">
        <v>57</v>
      </c>
      <c r="B450" s="159"/>
      <c r="C450" s="178"/>
      <c r="D450" s="179"/>
      <c r="E450" s="180"/>
      <c r="F450" s="163"/>
      <c r="G450" s="172"/>
    </row>
    <row r="451">
      <c r="A451" s="158" t="s">
        <v>57</v>
      </c>
      <c r="B451" s="159"/>
      <c r="C451" s="178"/>
      <c r="D451" s="179"/>
      <c r="E451" s="180"/>
      <c r="F451" s="163"/>
      <c r="G451" s="172"/>
    </row>
    <row r="452">
      <c r="A452" s="158" t="s">
        <v>57</v>
      </c>
      <c r="B452" s="159"/>
      <c r="C452" s="178"/>
      <c r="D452" s="179"/>
      <c r="E452" s="180"/>
      <c r="F452" s="163"/>
      <c r="G452" s="172"/>
    </row>
    <row r="453">
      <c r="A453" s="158" t="s">
        <v>57</v>
      </c>
      <c r="B453" s="159"/>
      <c r="C453" s="178"/>
      <c r="D453" s="179"/>
      <c r="E453" s="180"/>
      <c r="F453" s="163"/>
      <c r="G453" s="172"/>
    </row>
    <row r="454">
      <c r="A454" s="158" t="s">
        <v>57</v>
      </c>
      <c r="B454" s="159"/>
      <c r="C454" s="178"/>
      <c r="D454" s="179"/>
      <c r="E454" s="180"/>
      <c r="F454" s="163"/>
      <c r="G454" s="172"/>
    </row>
    <row r="455">
      <c r="A455" s="158" t="s">
        <v>57</v>
      </c>
      <c r="B455" s="159"/>
      <c r="C455" s="178"/>
      <c r="D455" s="179"/>
      <c r="E455" s="180"/>
      <c r="F455" s="163"/>
      <c r="G455" s="172"/>
    </row>
    <row r="456">
      <c r="A456" s="158" t="s">
        <v>57</v>
      </c>
      <c r="B456" s="159"/>
      <c r="C456" s="178"/>
      <c r="D456" s="179"/>
      <c r="E456" s="180"/>
      <c r="F456" s="163"/>
      <c r="G456" s="172"/>
    </row>
    <row r="457">
      <c r="A457" s="158" t="s">
        <v>57</v>
      </c>
      <c r="B457" s="159"/>
      <c r="C457" s="178"/>
      <c r="D457" s="179"/>
      <c r="E457" s="180"/>
      <c r="F457" s="163"/>
      <c r="G457" s="172"/>
    </row>
    <row r="458">
      <c r="A458" s="158" t="s">
        <v>57</v>
      </c>
      <c r="B458" s="159"/>
      <c r="C458" s="178"/>
      <c r="D458" s="179"/>
      <c r="E458" s="180"/>
      <c r="F458" s="163"/>
      <c r="G458" s="172"/>
    </row>
    <row r="459">
      <c r="A459" s="158" t="s">
        <v>57</v>
      </c>
      <c r="B459" s="159"/>
      <c r="C459" s="178"/>
      <c r="D459" s="179"/>
      <c r="E459" s="180"/>
      <c r="F459" s="163"/>
      <c r="G459" s="172"/>
    </row>
    <row r="460">
      <c r="A460" s="158" t="s">
        <v>57</v>
      </c>
      <c r="B460" s="159"/>
      <c r="C460" s="178"/>
      <c r="D460" s="179"/>
      <c r="E460" s="180"/>
      <c r="F460" s="163"/>
      <c r="G460" s="172"/>
    </row>
    <row r="461">
      <c r="A461" s="158" t="s">
        <v>57</v>
      </c>
      <c r="B461" s="159"/>
      <c r="C461" s="178"/>
      <c r="D461" s="179"/>
      <c r="E461" s="180"/>
      <c r="F461" s="163"/>
      <c r="G461" s="172"/>
    </row>
    <row r="462">
      <c r="A462" s="158" t="s">
        <v>57</v>
      </c>
      <c r="B462" s="159"/>
      <c r="C462" s="178"/>
      <c r="D462" s="179"/>
      <c r="E462" s="180"/>
      <c r="F462" s="163"/>
      <c r="G462" s="172"/>
    </row>
    <row r="463">
      <c r="A463" s="183" t="s">
        <v>57</v>
      </c>
      <c r="B463" s="193"/>
      <c r="C463" s="194"/>
      <c r="D463" s="195"/>
      <c r="E463" s="196"/>
      <c r="F463" s="197"/>
      <c r="G463" s="184"/>
    </row>
    <row r="464">
      <c r="E464" s="205"/>
    </row>
    <row r="465">
      <c r="A465" s="148" t="s">
        <v>58</v>
      </c>
      <c r="B465" s="187" t="s">
        <v>95</v>
      </c>
      <c r="C465" s="188">
        <v>44166.0</v>
      </c>
      <c r="D465" s="189" t="s">
        <v>171</v>
      </c>
      <c r="E465" s="190">
        <v>67.75</v>
      </c>
      <c r="F465" s="153" t="s">
        <v>22</v>
      </c>
      <c r="G465" s="191" t="s">
        <v>24</v>
      </c>
    </row>
    <row r="466">
      <c r="A466" s="158" t="s">
        <v>58</v>
      </c>
      <c r="B466" s="159" t="s">
        <v>95</v>
      </c>
      <c r="C466" s="178">
        <v>44166.0</v>
      </c>
      <c r="D466" s="179" t="s">
        <v>185</v>
      </c>
      <c r="E466" s="180">
        <v>27.0</v>
      </c>
      <c r="F466" s="163" t="s">
        <v>22</v>
      </c>
      <c r="G466" s="172" t="s">
        <v>24</v>
      </c>
    </row>
    <row r="467">
      <c r="A467" s="158" t="s">
        <v>58</v>
      </c>
      <c r="B467" s="159" t="s">
        <v>84</v>
      </c>
      <c r="C467" s="178">
        <v>44168.0</v>
      </c>
      <c r="D467" s="179" t="s">
        <v>161</v>
      </c>
      <c r="E467" s="180">
        <v>400.0</v>
      </c>
      <c r="F467" s="163" t="s">
        <v>26</v>
      </c>
      <c r="G467" s="172" t="s">
        <v>27</v>
      </c>
    </row>
    <row r="468">
      <c r="A468" s="158" t="s">
        <v>58</v>
      </c>
      <c r="B468" s="159" t="s">
        <v>77</v>
      </c>
      <c r="C468" s="178">
        <v>44169.0</v>
      </c>
      <c r="D468" s="179" t="s">
        <v>77</v>
      </c>
      <c r="E468" s="180">
        <v>120.0</v>
      </c>
      <c r="F468" s="163" t="s">
        <v>26</v>
      </c>
      <c r="G468" s="172" t="s">
        <v>27</v>
      </c>
    </row>
    <row r="469">
      <c r="A469" s="158" t="s">
        <v>58</v>
      </c>
      <c r="B469" s="159" t="s">
        <v>91</v>
      </c>
      <c r="C469" s="178">
        <v>44168.0</v>
      </c>
      <c r="D469" s="179" t="s">
        <v>186</v>
      </c>
      <c r="E469" s="180">
        <v>30.0</v>
      </c>
      <c r="F469" s="163" t="s">
        <v>14</v>
      </c>
      <c r="G469" s="172" t="s">
        <v>16</v>
      </c>
    </row>
    <row r="470">
      <c r="A470" s="158" t="s">
        <v>58</v>
      </c>
      <c r="B470" s="159" t="s">
        <v>95</v>
      </c>
      <c r="C470" s="178">
        <v>44174.0</v>
      </c>
      <c r="D470" s="179" t="s">
        <v>174</v>
      </c>
      <c r="E470" s="180">
        <v>200.0</v>
      </c>
      <c r="F470" s="163" t="s">
        <v>22</v>
      </c>
      <c r="G470" s="172" t="s">
        <v>24</v>
      </c>
    </row>
    <row r="471">
      <c r="A471" s="158" t="s">
        <v>58</v>
      </c>
      <c r="B471" s="159" t="s">
        <v>95</v>
      </c>
      <c r="C471" s="178">
        <v>44175.0</v>
      </c>
      <c r="D471" s="179" t="s">
        <v>187</v>
      </c>
      <c r="E471" s="180">
        <v>3.25</v>
      </c>
      <c r="F471" s="163" t="s">
        <v>22</v>
      </c>
      <c r="G471" s="172" t="s">
        <v>24</v>
      </c>
    </row>
    <row r="472">
      <c r="A472" s="158" t="s">
        <v>58</v>
      </c>
      <c r="B472" s="159" t="s">
        <v>77</v>
      </c>
      <c r="C472" s="178">
        <v>44176.0</v>
      </c>
      <c r="D472" s="179" t="s">
        <v>77</v>
      </c>
      <c r="E472" s="180">
        <v>120.0</v>
      </c>
      <c r="F472" s="163" t="s">
        <v>26</v>
      </c>
      <c r="G472" s="172" t="s">
        <v>27</v>
      </c>
    </row>
    <row r="473">
      <c r="A473" s="158" t="s">
        <v>58</v>
      </c>
      <c r="B473" s="159" t="s">
        <v>95</v>
      </c>
      <c r="C473" s="178">
        <v>44176.0</v>
      </c>
      <c r="D473" s="179" t="s">
        <v>169</v>
      </c>
      <c r="E473" s="180">
        <v>80.0</v>
      </c>
      <c r="F473" s="163" t="s">
        <v>26</v>
      </c>
      <c r="G473" s="172" t="s">
        <v>27</v>
      </c>
    </row>
    <row r="474">
      <c r="A474" s="158" t="s">
        <v>58</v>
      </c>
      <c r="B474" s="159" t="s">
        <v>95</v>
      </c>
      <c r="C474" s="178">
        <v>44179.0</v>
      </c>
      <c r="D474" s="179" t="s">
        <v>188</v>
      </c>
      <c r="E474" s="180">
        <v>20.0</v>
      </c>
      <c r="F474" s="163" t="s">
        <v>14</v>
      </c>
      <c r="G474" s="172" t="s">
        <v>16</v>
      </c>
    </row>
    <row r="475">
      <c r="A475" s="158" t="s">
        <v>58</v>
      </c>
      <c r="B475" s="159" t="s">
        <v>95</v>
      </c>
      <c r="C475" s="178">
        <v>44181.0</v>
      </c>
      <c r="D475" s="179" t="s">
        <v>188</v>
      </c>
      <c r="E475" s="180">
        <v>100.0</v>
      </c>
      <c r="F475" s="163" t="s">
        <v>22</v>
      </c>
      <c r="G475" s="172" t="s">
        <v>24</v>
      </c>
    </row>
    <row r="476">
      <c r="A476" s="158" t="s">
        <v>58</v>
      </c>
      <c r="B476" s="159" t="s">
        <v>95</v>
      </c>
      <c r="C476" s="178">
        <v>44182.0</v>
      </c>
      <c r="D476" s="179" t="s">
        <v>188</v>
      </c>
      <c r="E476" s="180">
        <v>15.0</v>
      </c>
      <c r="F476" s="163" t="s">
        <v>26</v>
      </c>
      <c r="G476" s="172" t="s">
        <v>27</v>
      </c>
    </row>
    <row r="477">
      <c r="A477" s="158" t="s">
        <v>58</v>
      </c>
      <c r="B477" s="159" t="s">
        <v>77</v>
      </c>
      <c r="C477" s="178">
        <v>44183.0</v>
      </c>
      <c r="D477" s="179" t="s">
        <v>77</v>
      </c>
      <c r="E477" s="180">
        <v>120.0</v>
      </c>
      <c r="F477" s="163" t="s">
        <v>26</v>
      </c>
      <c r="G477" s="172" t="s">
        <v>27</v>
      </c>
    </row>
    <row r="478">
      <c r="A478" s="158" t="s">
        <v>58</v>
      </c>
      <c r="B478" s="159" t="s">
        <v>91</v>
      </c>
      <c r="C478" s="178">
        <v>44184.0</v>
      </c>
      <c r="D478" s="179" t="s">
        <v>189</v>
      </c>
      <c r="E478" s="180">
        <v>70.0</v>
      </c>
      <c r="F478" s="163" t="s">
        <v>14</v>
      </c>
      <c r="G478" s="172" t="s">
        <v>16</v>
      </c>
    </row>
    <row r="479">
      <c r="A479" s="158" t="s">
        <v>58</v>
      </c>
      <c r="B479" s="159" t="s">
        <v>95</v>
      </c>
      <c r="C479" s="178">
        <v>44185.0</v>
      </c>
      <c r="D479" s="179" t="s">
        <v>172</v>
      </c>
      <c r="E479" s="180">
        <v>104.0</v>
      </c>
      <c r="F479" s="163" t="s">
        <v>26</v>
      </c>
      <c r="G479" s="172" t="s">
        <v>27</v>
      </c>
    </row>
    <row r="480">
      <c r="A480" s="158" t="s">
        <v>58</v>
      </c>
      <c r="B480" s="159" t="s">
        <v>95</v>
      </c>
      <c r="C480" s="178">
        <v>44185.0</v>
      </c>
      <c r="D480" s="179" t="s">
        <v>171</v>
      </c>
      <c r="E480" s="180">
        <v>26.0</v>
      </c>
      <c r="F480" s="163" t="s">
        <v>22</v>
      </c>
      <c r="G480" s="172" t="s">
        <v>24</v>
      </c>
    </row>
    <row r="481">
      <c r="A481" s="158" t="s">
        <v>58</v>
      </c>
      <c r="B481" s="159" t="s">
        <v>77</v>
      </c>
      <c r="C481" s="178">
        <v>44188.0</v>
      </c>
      <c r="D481" s="179" t="s">
        <v>77</v>
      </c>
      <c r="E481" s="180">
        <v>120.0</v>
      </c>
      <c r="F481" s="163" t="s">
        <v>26</v>
      </c>
      <c r="G481" s="172" t="s">
        <v>27</v>
      </c>
    </row>
    <row r="482">
      <c r="A482" s="158" t="s">
        <v>58</v>
      </c>
      <c r="B482" s="159" t="s">
        <v>77</v>
      </c>
      <c r="C482" s="178">
        <v>44196.0</v>
      </c>
      <c r="D482" s="179" t="s">
        <v>77</v>
      </c>
      <c r="E482" s="180">
        <v>120.0</v>
      </c>
      <c r="F482" s="163" t="s">
        <v>26</v>
      </c>
      <c r="G482" s="172" t="s">
        <v>27</v>
      </c>
    </row>
    <row r="483">
      <c r="A483" s="158" t="s">
        <v>58</v>
      </c>
      <c r="B483" s="159" t="s">
        <v>84</v>
      </c>
      <c r="C483" s="178">
        <v>44196.0</v>
      </c>
      <c r="D483" s="179" t="s">
        <v>161</v>
      </c>
      <c r="E483" s="180">
        <v>400.0</v>
      </c>
      <c r="F483" s="163" t="s">
        <v>26</v>
      </c>
      <c r="G483" s="172" t="s">
        <v>27</v>
      </c>
    </row>
    <row r="484">
      <c r="A484" s="158" t="s">
        <v>58</v>
      </c>
      <c r="B484" s="159" t="s">
        <v>99</v>
      </c>
      <c r="C484" s="178">
        <v>44196.0</v>
      </c>
      <c r="D484" s="179" t="s">
        <v>15</v>
      </c>
      <c r="E484" s="180">
        <v>0.17</v>
      </c>
      <c r="F484" s="163" t="s">
        <v>14</v>
      </c>
      <c r="G484" s="172" t="s">
        <v>16</v>
      </c>
    </row>
    <row r="485">
      <c r="A485" s="158" t="s">
        <v>58</v>
      </c>
      <c r="B485" s="159" t="s">
        <v>99</v>
      </c>
      <c r="C485" s="178">
        <v>44196.0</v>
      </c>
      <c r="D485" s="179" t="s">
        <v>18</v>
      </c>
      <c r="E485" s="180">
        <v>0.05</v>
      </c>
      <c r="F485" s="163" t="s">
        <v>14</v>
      </c>
      <c r="G485" s="172" t="s">
        <v>19</v>
      </c>
    </row>
    <row r="486">
      <c r="A486" s="158" t="s">
        <v>58</v>
      </c>
      <c r="B486" s="159"/>
      <c r="C486" s="178"/>
      <c r="D486" s="179"/>
      <c r="E486" s="180"/>
      <c r="F486" s="163"/>
      <c r="G486" s="176"/>
    </row>
    <row r="487">
      <c r="A487" s="158" t="s">
        <v>58</v>
      </c>
      <c r="B487" s="159"/>
      <c r="C487" s="178"/>
      <c r="D487" s="179"/>
      <c r="E487" s="180"/>
      <c r="F487" s="163"/>
      <c r="G487" s="176"/>
    </row>
    <row r="488">
      <c r="A488" s="158" t="s">
        <v>58</v>
      </c>
      <c r="B488" s="159"/>
      <c r="C488" s="178"/>
      <c r="D488" s="179"/>
      <c r="E488" s="180"/>
      <c r="F488" s="163"/>
      <c r="G488" s="176"/>
    </row>
    <row r="489">
      <c r="A489" s="158" t="s">
        <v>58</v>
      </c>
      <c r="B489" s="159"/>
      <c r="C489" s="178"/>
      <c r="D489" s="179"/>
      <c r="E489" s="180"/>
      <c r="F489" s="163"/>
      <c r="G489" s="172"/>
    </row>
    <row r="490">
      <c r="A490" s="158" t="s">
        <v>58</v>
      </c>
      <c r="B490" s="159"/>
      <c r="C490" s="178"/>
      <c r="D490" s="179"/>
      <c r="E490" s="180"/>
      <c r="F490" s="163"/>
      <c r="G490" s="172"/>
    </row>
    <row r="491">
      <c r="A491" s="158" t="s">
        <v>58</v>
      </c>
      <c r="B491" s="159"/>
      <c r="C491" s="178"/>
      <c r="D491" s="179"/>
      <c r="E491" s="180"/>
      <c r="F491" s="163"/>
      <c r="G491" s="172"/>
    </row>
    <row r="492">
      <c r="A492" s="158" t="s">
        <v>58</v>
      </c>
      <c r="B492" s="159"/>
      <c r="C492" s="178"/>
      <c r="D492" s="179"/>
      <c r="E492" s="180"/>
      <c r="F492" s="163"/>
      <c r="G492" s="172"/>
    </row>
    <row r="493">
      <c r="A493" s="158" t="s">
        <v>58</v>
      </c>
      <c r="B493" s="159"/>
      <c r="C493" s="178"/>
      <c r="D493" s="179"/>
      <c r="E493" s="180"/>
      <c r="F493" s="163"/>
      <c r="G493" s="172"/>
    </row>
    <row r="494">
      <c r="A494" s="158" t="s">
        <v>58</v>
      </c>
      <c r="B494" s="159"/>
      <c r="C494" s="178"/>
      <c r="D494" s="179"/>
      <c r="E494" s="180"/>
      <c r="F494" s="163"/>
      <c r="G494" s="172"/>
    </row>
    <row r="495">
      <c r="A495" s="158" t="s">
        <v>58</v>
      </c>
      <c r="B495" s="159"/>
      <c r="C495" s="178"/>
      <c r="D495" s="179"/>
      <c r="E495" s="180"/>
      <c r="F495" s="163"/>
      <c r="G495" s="172"/>
    </row>
    <row r="496">
      <c r="A496" s="158" t="s">
        <v>58</v>
      </c>
      <c r="B496" s="159"/>
      <c r="C496" s="178"/>
      <c r="D496" s="179"/>
      <c r="E496" s="180"/>
      <c r="F496" s="163"/>
      <c r="G496" s="172"/>
    </row>
    <row r="497">
      <c r="A497" s="158" t="s">
        <v>58</v>
      </c>
      <c r="B497" s="159"/>
      <c r="C497" s="178"/>
      <c r="D497" s="179"/>
      <c r="E497" s="180"/>
      <c r="F497" s="163"/>
      <c r="G497" s="172"/>
    </row>
    <row r="498">
      <c r="A498" s="158" t="s">
        <v>58</v>
      </c>
      <c r="B498" s="159"/>
      <c r="C498" s="178"/>
      <c r="D498" s="179"/>
      <c r="E498" s="180"/>
      <c r="F498" s="163"/>
      <c r="G498" s="172"/>
    </row>
    <row r="499">
      <c r="A499" s="158" t="s">
        <v>58</v>
      </c>
      <c r="B499" s="159"/>
      <c r="C499" s="178"/>
      <c r="D499" s="179"/>
      <c r="E499" s="180"/>
      <c r="F499" s="163"/>
      <c r="G499" s="172"/>
    </row>
    <row r="500">
      <c r="A500" s="158" t="s">
        <v>58</v>
      </c>
      <c r="B500" s="159"/>
      <c r="C500" s="178"/>
      <c r="D500" s="179"/>
      <c r="E500" s="180"/>
      <c r="F500" s="163"/>
      <c r="G500" s="172"/>
    </row>
    <row r="501">
      <c r="A501" s="158" t="s">
        <v>58</v>
      </c>
      <c r="B501" s="159"/>
      <c r="C501" s="178"/>
      <c r="D501" s="179"/>
      <c r="E501" s="180"/>
      <c r="F501" s="163"/>
      <c r="G501" s="172"/>
    </row>
    <row r="502">
      <c r="A502" s="158" t="s">
        <v>58</v>
      </c>
      <c r="B502" s="159"/>
      <c r="C502" s="178"/>
      <c r="D502" s="179"/>
      <c r="E502" s="180"/>
      <c r="F502" s="163"/>
      <c r="G502" s="172"/>
    </row>
    <row r="503">
      <c r="A503" s="158" t="s">
        <v>58</v>
      </c>
      <c r="B503" s="159"/>
      <c r="C503" s="178"/>
      <c r="D503" s="179"/>
      <c r="E503" s="180"/>
      <c r="F503" s="163"/>
      <c r="G503" s="172"/>
    </row>
    <row r="504">
      <c r="A504" s="158" t="s">
        <v>58</v>
      </c>
      <c r="B504" s="159"/>
      <c r="C504" s="178"/>
      <c r="D504" s="179"/>
      <c r="E504" s="180"/>
      <c r="F504" s="163"/>
      <c r="G504" s="172"/>
    </row>
    <row r="505">
      <c r="A505" s="183" t="s">
        <v>58</v>
      </c>
      <c r="B505" s="193"/>
      <c r="C505" s="194"/>
      <c r="D505" s="195"/>
      <c r="E505" s="196"/>
      <c r="F505" s="197"/>
      <c r="G505" s="184"/>
    </row>
  </sheetData>
  <mergeCells count="1">
    <mergeCell ref="A1:G1"/>
  </mergeCells>
  <dataValidations>
    <dataValidation type="list" allowBlank="1" sqref="F3:F43 F45:F85 F87:F127 F129:F169 F171:F211 F213:F253 F255:F295 F297:F337 F339:F379 F381:F421 F423:F463 F465:F505">
      <formula1>Inicio!$B$6:$B$25</formula1>
    </dataValidation>
    <dataValidation type="list" allowBlank="1" sqref="G3:G43 G45:G85 G87:G127 G129:G169 G171:G211 G213:G253 G255:G295 G297:G337 G339:G379 G381:G421 G423:G463 G465:G505">
      <formula1>Inicio!$D$6:$D$25</formula1>
    </dataValidation>
    <dataValidation type="list" allowBlank="1" sqref="B3:B43 B45:B85 B87:B127 B129:B169 B171:B211 B213:B253 B255:B295 B297:B337 B339:B379 B423:B463 B465:B505">
      <formula1>Tabelas!$E$13:$E$29</formula1>
    </dataValidation>
    <dataValidation type="list" allowBlank="1" sqref="B381:B421">
      <formula1>Tabelas!$E$13:$E$52</formula1>
    </dataValidation>
  </dataValidations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38"/>
    <col customWidth="1" min="2" max="2" width="12.63"/>
    <col customWidth="1" min="3" max="3" width="9.38"/>
    <col customWidth="1" min="4" max="4" width="26.63"/>
    <col customWidth="1" min="5" max="5" width="9.25"/>
    <col customWidth="1" min="6" max="6" width="15.5"/>
    <col customWidth="1" min="7" max="7" width="6.25"/>
    <col customWidth="1" min="8" max="8" width="10.0"/>
    <col customWidth="1" min="9" max="9" width="3.25"/>
    <col customWidth="1" min="10" max="10" width="8.63"/>
    <col customWidth="1" min="11" max="11" width="3.75"/>
    <col customWidth="1" min="12" max="12" width="9.38"/>
    <col customWidth="1" min="13" max="13" width="14.25"/>
    <col customWidth="1" min="14" max="14" width="10.13"/>
    <col customWidth="1" min="15" max="15" width="7.88"/>
    <col customWidth="1" min="16" max="16" width="8.88"/>
    <col customWidth="1" min="17" max="17" width="9.25"/>
  </cols>
  <sheetData>
    <row r="1">
      <c r="A1" s="140" t="s">
        <v>113</v>
      </c>
      <c r="B1" s="12"/>
      <c r="C1" s="12"/>
      <c r="D1" s="12"/>
      <c r="E1" s="12"/>
      <c r="F1" s="12"/>
      <c r="G1" s="12"/>
      <c r="H1" s="164"/>
      <c r="I1" s="164"/>
      <c r="J1" s="209" t="s">
        <v>12</v>
      </c>
    </row>
    <row r="2">
      <c r="A2" s="210" t="s">
        <v>114</v>
      </c>
      <c r="B2" s="210" t="s">
        <v>115</v>
      </c>
      <c r="C2" s="210" t="s">
        <v>116</v>
      </c>
      <c r="D2" s="210" t="s">
        <v>117</v>
      </c>
      <c r="E2" s="210" t="s">
        <v>118</v>
      </c>
      <c r="F2" s="210" t="s">
        <v>190</v>
      </c>
      <c r="G2" s="210" t="s">
        <v>11</v>
      </c>
      <c r="H2" s="210" t="s">
        <v>191</v>
      </c>
      <c r="I2" s="164"/>
      <c r="J2" s="211" t="s">
        <v>114</v>
      </c>
      <c r="K2" s="212" t="s">
        <v>192</v>
      </c>
      <c r="L2" s="211" t="s">
        <v>116</v>
      </c>
      <c r="M2" s="211" t="s">
        <v>117</v>
      </c>
      <c r="N2" s="213" t="s">
        <v>193</v>
      </c>
      <c r="O2" s="212" t="s">
        <v>194</v>
      </c>
      <c r="P2" s="213" t="s">
        <v>195</v>
      </c>
      <c r="Q2" s="214" t="s">
        <v>142</v>
      </c>
    </row>
    <row r="3">
      <c r="A3" s="215" t="s">
        <v>47</v>
      </c>
      <c r="B3" s="187" t="s">
        <v>97</v>
      </c>
      <c r="C3" s="188">
        <v>43832.0</v>
      </c>
      <c r="D3" s="189" t="s">
        <v>196</v>
      </c>
      <c r="E3" s="216">
        <v>60.0</v>
      </c>
      <c r="F3" s="153" t="s">
        <v>22</v>
      </c>
      <c r="G3" s="163" t="s">
        <v>24</v>
      </c>
      <c r="H3" s="217"/>
      <c r="I3" s="218"/>
      <c r="J3" s="219" t="s">
        <v>47</v>
      </c>
      <c r="K3" s="220">
        <v>1.0</v>
      </c>
      <c r="L3" s="221">
        <v>43839.0</v>
      </c>
      <c r="M3" s="222" t="s">
        <v>197</v>
      </c>
      <c r="N3" s="223">
        <v>8.83</v>
      </c>
      <c r="O3" s="224">
        <v>1.0</v>
      </c>
      <c r="P3" s="225">
        <f t="shared" ref="P3:P43" si="1">iferror($N3/$O3,"")</f>
        <v>8.83</v>
      </c>
      <c r="Q3" s="172" t="s">
        <v>14</v>
      </c>
    </row>
    <row r="4">
      <c r="A4" s="226" t="s">
        <v>47</v>
      </c>
      <c r="B4" s="159" t="s">
        <v>105</v>
      </c>
      <c r="C4" s="178">
        <v>43833.0</v>
      </c>
      <c r="D4" s="179" t="s">
        <v>198</v>
      </c>
      <c r="E4" s="216">
        <v>22.02</v>
      </c>
      <c r="F4" s="163" t="s">
        <v>14</v>
      </c>
      <c r="G4" s="163" t="s">
        <v>16</v>
      </c>
      <c r="H4" s="227"/>
      <c r="I4" s="228"/>
      <c r="J4" s="229" t="s">
        <v>47</v>
      </c>
      <c r="K4" s="230">
        <f t="shared" ref="K4:K43" si="2">K3+1</f>
        <v>2</v>
      </c>
      <c r="L4" s="231">
        <v>43843.0</v>
      </c>
      <c r="M4" s="232" t="s">
        <v>198</v>
      </c>
      <c r="N4" s="233">
        <v>24.42</v>
      </c>
      <c r="O4" s="234">
        <v>1.0</v>
      </c>
      <c r="P4" s="225">
        <f t="shared" si="1"/>
        <v>24.42</v>
      </c>
      <c r="Q4" s="172" t="s">
        <v>14</v>
      </c>
    </row>
    <row r="5">
      <c r="A5" s="226" t="s">
        <v>47</v>
      </c>
      <c r="B5" s="159" t="s">
        <v>109</v>
      </c>
      <c r="C5" s="178">
        <v>43833.0</v>
      </c>
      <c r="D5" s="179" t="s">
        <v>199</v>
      </c>
      <c r="E5" s="216">
        <v>14.2</v>
      </c>
      <c r="F5" s="163" t="s">
        <v>14</v>
      </c>
      <c r="G5" s="163" t="s">
        <v>16</v>
      </c>
      <c r="H5" s="235"/>
      <c r="I5" s="164"/>
      <c r="J5" s="229" t="s">
        <v>47</v>
      </c>
      <c r="K5" s="230">
        <f t="shared" si="2"/>
        <v>3</v>
      </c>
      <c r="L5" s="231">
        <v>43847.0</v>
      </c>
      <c r="M5" s="232" t="s">
        <v>197</v>
      </c>
      <c r="N5" s="233">
        <v>10.22</v>
      </c>
      <c r="O5" s="234">
        <v>1.0</v>
      </c>
      <c r="P5" s="225">
        <f t="shared" si="1"/>
        <v>10.22</v>
      </c>
      <c r="Q5" s="172" t="s">
        <v>14</v>
      </c>
    </row>
    <row r="6">
      <c r="A6" s="226" t="s">
        <v>47</v>
      </c>
      <c r="B6" s="159" t="s">
        <v>75</v>
      </c>
      <c r="C6" s="178">
        <v>43834.0</v>
      </c>
      <c r="D6" s="179" t="s">
        <v>200</v>
      </c>
      <c r="E6" s="216">
        <v>4.0</v>
      </c>
      <c r="F6" s="163" t="s">
        <v>22</v>
      </c>
      <c r="G6" s="163" t="s">
        <v>24</v>
      </c>
      <c r="H6" s="227"/>
      <c r="I6" s="164"/>
      <c r="J6" s="229" t="s">
        <v>47</v>
      </c>
      <c r="K6" s="230">
        <f t="shared" si="2"/>
        <v>4</v>
      </c>
      <c r="L6" s="231">
        <v>43847.0</v>
      </c>
      <c r="M6" s="232" t="s">
        <v>201</v>
      </c>
      <c r="N6" s="233">
        <v>13.44</v>
      </c>
      <c r="O6" s="234">
        <v>1.0</v>
      </c>
      <c r="P6" s="225">
        <f t="shared" si="1"/>
        <v>13.44</v>
      </c>
      <c r="Q6" s="172" t="s">
        <v>14</v>
      </c>
    </row>
    <row r="7">
      <c r="A7" s="226" t="s">
        <v>47</v>
      </c>
      <c r="B7" s="159" t="s">
        <v>89</v>
      </c>
      <c r="C7" s="178">
        <v>43834.0</v>
      </c>
      <c r="D7" s="179" t="s">
        <v>202</v>
      </c>
      <c r="E7" s="216">
        <v>45.0</v>
      </c>
      <c r="F7" s="163" t="s">
        <v>22</v>
      </c>
      <c r="G7" s="163" t="s">
        <v>24</v>
      </c>
      <c r="H7" s="235"/>
      <c r="I7" s="164"/>
      <c r="J7" s="229" t="s">
        <v>47</v>
      </c>
      <c r="K7" s="230">
        <f t="shared" si="2"/>
        <v>5</v>
      </c>
      <c r="L7" s="231">
        <v>43851.0</v>
      </c>
      <c r="M7" s="232" t="s">
        <v>203</v>
      </c>
      <c r="N7" s="233">
        <v>127.21</v>
      </c>
      <c r="O7" s="234">
        <v>1.0</v>
      </c>
      <c r="P7" s="225">
        <f t="shared" si="1"/>
        <v>127.21</v>
      </c>
      <c r="Q7" s="172" t="s">
        <v>14</v>
      </c>
    </row>
    <row r="8">
      <c r="A8" s="226" t="s">
        <v>47</v>
      </c>
      <c r="B8" s="159" t="s">
        <v>93</v>
      </c>
      <c r="C8" s="178">
        <v>43835.0</v>
      </c>
      <c r="D8" s="179" t="s">
        <v>93</v>
      </c>
      <c r="E8" s="216">
        <v>16.5</v>
      </c>
      <c r="F8" s="163" t="s">
        <v>22</v>
      </c>
      <c r="G8" s="163" t="s">
        <v>24</v>
      </c>
      <c r="H8" s="227"/>
      <c r="I8" s="164"/>
      <c r="J8" s="229" t="s">
        <v>47</v>
      </c>
      <c r="K8" s="230">
        <f t="shared" si="2"/>
        <v>6</v>
      </c>
      <c r="L8" s="231">
        <v>43855.0</v>
      </c>
      <c r="M8" s="232" t="s">
        <v>204</v>
      </c>
      <c r="N8" s="233">
        <v>9.06</v>
      </c>
      <c r="O8" s="234">
        <v>1.0</v>
      </c>
      <c r="P8" s="225">
        <f t="shared" si="1"/>
        <v>9.06</v>
      </c>
      <c r="Q8" s="172" t="s">
        <v>14</v>
      </c>
    </row>
    <row r="9">
      <c r="A9" s="226" t="s">
        <v>47</v>
      </c>
      <c r="B9" s="159" t="s">
        <v>89</v>
      </c>
      <c r="C9" s="178">
        <v>43835.0</v>
      </c>
      <c r="D9" s="179" t="s">
        <v>205</v>
      </c>
      <c r="E9" s="216">
        <v>25.0</v>
      </c>
      <c r="F9" s="163" t="s">
        <v>22</v>
      </c>
      <c r="G9" s="163" t="s">
        <v>24</v>
      </c>
      <c r="H9" s="235"/>
      <c r="I9" s="164"/>
      <c r="J9" s="229" t="s">
        <v>47</v>
      </c>
      <c r="K9" s="230">
        <f t="shared" si="2"/>
        <v>7</v>
      </c>
      <c r="L9" s="231">
        <v>43850.0</v>
      </c>
      <c r="M9" s="232" t="s">
        <v>206</v>
      </c>
      <c r="N9" s="233">
        <v>7.76</v>
      </c>
      <c r="O9" s="234">
        <v>1.0</v>
      </c>
      <c r="P9" s="225">
        <f t="shared" si="1"/>
        <v>7.76</v>
      </c>
      <c r="Q9" s="172" t="s">
        <v>14</v>
      </c>
    </row>
    <row r="10">
      <c r="A10" s="226" t="s">
        <v>47</v>
      </c>
      <c r="B10" s="159" t="s">
        <v>89</v>
      </c>
      <c r="C10" s="178">
        <v>43834.0</v>
      </c>
      <c r="D10" s="179" t="s">
        <v>207</v>
      </c>
      <c r="E10" s="216">
        <v>6.0</v>
      </c>
      <c r="F10" s="163" t="s">
        <v>22</v>
      </c>
      <c r="G10" s="163" t="s">
        <v>24</v>
      </c>
      <c r="H10" s="227"/>
      <c r="I10" s="164"/>
      <c r="J10" s="229" t="s">
        <v>47</v>
      </c>
      <c r="K10" s="230">
        <f t="shared" si="2"/>
        <v>8</v>
      </c>
      <c r="L10" s="231">
        <v>43834.0</v>
      </c>
      <c r="M10" s="232" t="s">
        <v>208</v>
      </c>
      <c r="N10" s="233">
        <v>59.32</v>
      </c>
      <c r="O10" s="234">
        <v>2.0</v>
      </c>
      <c r="P10" s="225">
        <f t="shared" si="1"/>
        <v>29.66</v>
      </c>
      <c r="Q10" s="172" t="s">
        <v>14</v>
      </c>
    </row>
    <row r="11">
      <c r="A11" s="226" t="s">
        <v>47</v>
      </c>
      <c r="B11" s="159" t="s">
        <v>75</v>
      </c>
      <c r="C11" s="178">
        <v>43834.0</v>
      </c>
      <c r="D11" s="179" t="s">
        <v>209</v>
      </c>
      <c r="E11" s="216">
        <v>8.0</v>
      </c>
      <c r="F11" s="163" t="s">
        <v>22</v>
      </c>
      <c r="G11" s="163" t="s">
        <v>24</v>
      </c>
      <c r="H11" s="235"/>
      <c r="I11" s="164"/>
      <c r="J11" s="229" t="s">
        <v>47</v>
      </c>
      <c r="K11" s="230">
        <f t="shared" si="2"/>
        <v>9</v>
      </c>
      <c r="L11" s="231">
        <v>43834.0</v>
      </c>
      <c r="M11" s="232" t="s">
        <v>210</v>
      </c>
      <c r="N11" s="233">
        <v>1041.6</v>
      </c>
      <c r="O11" s="234">
        <v>3.0</v>
      </c>
      <c r="P11" s="225">
        <f t="shared" si="1"/>
        <v>347.2</v>
      </c>
      <c r="Q11" s="172" t="s">
        <v>14</v>
      </c>
    </row>
    <row r="12">
      <c r="A12" s="226" t="s">
        <v>47</v>
      </c>
      <c r="B12" s="159" t="s">
        <v>105</v>
      </c>
      <c r="C12" s="178">
        <v>43834.0</v>
      </c>
      <c r="D12" s="179" t="s">
        <v>198</v>
      </c>
      <c r="E12" s="216">
        <v>9.0</v>
      </c>
      <c r="F12" s="163" t="s">
        <v>22</v>
      </c>
      <c r="G12" s="163" t="s">
        <v>24</v>
      </c>
      <c r="H12" s="227"/>
      <c r="I12" s="164"/>
      <c r="J12" s="229" t="s">
        <v>47</v>
      </c>
      <c r="K12" s="230">
        <f t="shared" si="2"/>
        <v>10</v>
      </c>
      <c r="L12" s="231"/>
      <c r="M12" s="232"/>
      <c r="N12" s="233"/>
      <c r="O12" s="234"/>
      <c r="P12" s="225" t="str">
        <f t="shared" si="1"/>
        <v/>
      </c>
      <c r="Q12" s="172"/>
      <c r="R12" s="236"/>
      <c r="Y12" s="221"/>
      <c r="Z12" s="222"/>
      <c r="AA12" s="223"/>
      <c r="AB12" s="163"/>
    </row>
    <row r="13">
      <c r="A13" s="226" t="s">
        <v>47</v>
      </c>
      <c r="B13" s="159" t="s">
        <v>75</v>
      </c>
      <c r="C13" s="178">
        <v>43835.0</v>
      </c>
      <c r="D13" s="179" t="s">
        <v>211</v>
      </c>
      <c r="E13" s="216">
        <v>6.0</v>
      </c>
      <c r="F13" s="163" t="s">
        <v>14</v>
      </c>
      <c r="G13" s="163" t="s">
        <v>16</v>
      </c>
      <c r="H13" s="235"/>
      <c r="I13" s="164"/>
      <c r="J13" s="229" t="s">
        <v>47</v>
      </c>
      <c r="K13" s="230">
        <f t="shared" si="2"/>
        <v>11</v>
      </c>
      <c r="L13" s="237"/>
      <c r="M13" s="238"/>
      <c r="N13" s="239"/>
      <c r="O13" s="240"/>
      <c r="P13" s="225" t="str">
        <f t="shared" si="1"/>
        <v/>
      </c>
      <c r="Q13" s="172"/>
      <c r="R13" s="236"/>
    </row>
    <row r="14">
      <c r="A14" s="226" t="s">
        <v>47</v>
      </c>
      <c r="B14" s="159" t="s">
        <v>97</v>
      </c>
      <c r="C14" s="178">
        <v>43835.0</v>
      </c>
      <c r="D14" s="179" t="s">
        <v>212</v>
      </c>
      <c r="E14" s="216">
        <v>6.0</v>
      </c>
      <c r="F14" s="163" t="s">
        <v>22</v>
      </c>
      <c r="G14" s="163" t="s">
        <v>24</v>
      </c>
      <c r="H14" s="227"/>
      <c r="I14" s="164"/>
      <c r="J14" s="229" t="s">
        <v>47</v>
      </c>
      <c r="K14" s="230">
        <f t="shared" si="2"/>
        <v>12</v>
      </c>
      <c r="L14" s="237"/>
      <c r="M14" s="238"/>
      <c r="N14" s="239"/>
      <c r="O14" s="240"/>
      <c r="P14" s="225" t="str">
        <f t="shared" si="1"/>
        <v/>
      </c>
      <c r="Q14" s="172"/>
    </row>
    <row r="15">
      <c r="A15" s="226" t="s">
        <v>47</v>
      </c>
      <c r="B15" s="159" t="s">
        <v>109</v>
      </c>
      <c r="C15" s="178">
        <v>43840.0</v>
      </c>
      <c r="D15" s="179" t="s">
        <v>213</v>
      </c>
      <c r="E15" s="216">
        <v>23.35</v>
      </c>
      <c r="F15" s="163" t="s">
        <v>26</v>
      </c>
      <c r="G15" s="163" t="s">
        <v>27</v>
      </c>
      <c r="H15" s="235"/>
      <c r="I15" s="164"/>
      <c r="J15" s="229" t="s">
        <v>47</v>
      </c>
      <c r="K15" s="230">
        <f t="shared" si="2"/>
        <v>13</v>
      </c>
      <c r="L15" s="237"/>
      <c r="M15" s="238"/>
      <c r="N15" s="239"/>
      <c r="O15" s="240"/>
      <c r="P15" s="225" t="str">
        <f t="shared" si="1"/>
        <v/>
      </c>
      <c r="Q15" s="172"/>
      <c r="S15" s="192"/>
      <c r="T15" s="141"/>
      <c r="U15" s="141"/>
    </row>
    <row r="16">
      <c r="A16" s="226" t="s">
        <v>47</v>
      </c>
      <c r="B16" s="159" t="s">
        <v>109</v>
      </c>
      <c r="C16" s="178">
        <v>43841.0</v>
      </c>
      <c r="D16" s="179" t="s">
        <v>214</v>
      </c>
      <c r="E16" s="216">
        <v>100.0</v>
      </c>
      <c r="F16" s="163" t="s">
        <v>22</v>
      </c>
      <c r="G16" s="163" t="s">
        <v>24</v>
      </c>
      <c r="H16" s="227"/>
      <c r="I16" s="164"/>
      <c r="J16" s="229" t="s">
        <v>47</v>
      </c>
      <c r="K16" s="230">
        <f t="shared" si="2"/>
        <v>14</v>
      </c>
      <c r="L16" s="237"/>
      <c r="M16" s="238"/>
      <c r="N16" s="239"/>
      <c r="O16" s="240"/>
      <c r="P16" s="225" t="str">
        <f t="shared" si="1"/>
        <v/>
      </c>
      <c r="Q16" s="172"/>
      <c r="S16" s="182"/>
      <c r="T16" s="89"/>
      <c r="U16" s="141"/>
    </row>
    <row r="17">
      <c r="A17" s="226" t="s">
        <v>47</v>
      </c>
      <c r="B17" s="159" t="s">
        <v>89</v>
      </c>
      <c r="C17" s="178">
        <v>43847.0</v>
      </c>
      <c r="D17" s="179" t="s">
        <v>215</v>
      </c>
      <c r="E17" s="216">
        <v>15.0</v>
      </c>
      <c r="F17" s="163" t="s">
        <v>22</v>
      </c>
      <c r="G17" s="163" t="s">
        <v>24</v>
      </c>
      <c r="H17" s="235"/>
      <c r="I17" s="164"/>
      <c r="J17" s="229" t="s">
        <v>47</v>
      </c>
      <c r="K17" s="230">
        <f t="shared" si="2"/>
        <v>15</v>
      </c>
      <c r="L17" s="237"/>
      <c r="M17" s="238"/>
      <c r="N17" s="239"/>
      <c r="O17" s="240"/>
      <c r="P17" s="225" t="str">
        <f t="shared" si="1"/>
        <v/>
      </c>
      <c r="Q17" s="172"/>
      <c r="S17" s="182"/>
      <c r="T17" s="89"/>
      <c r="U17" s="141"/>
    </row>
    <row r="18">
      <c r="A18" s="226" t="s">
        <v>47</v>
      </c>
      <c r="B18" s="159" t="s">
        <v>89</v>
      </c>
      <c r="C18" s="178">
        <v>43848.0</v>
      </c>
      <c r="D18" s="241" t="s">
        <v>216</v>
      </c>
      <c r="E18" s="216">
        <v>10.0</v>
      </c>
      <c r="F18" s="163" t="s">
        <v>22</v>
      </c>
      <c r="G18" s="163" t="s">
        <v>24</v>
      </c>
      <c r="H18" s="227"/>
      <c r="I18" s="164"/>
      <c r="J18" s="229" t="s">
        <v>47</v>
      </c>
      <c r="K18" s="230">
        <f t="shared" si="2"/>
        <v>16</v>
      </c>
      <c r="L18" s="237"/>
      <c r="M18" s="238"/>
      <c r="N18" s="239"/>
      <c r="O18" s="240"/>
      <c r="P18" s="225" t="str">
        <f t="shared" si="1"/>
        <v/>
      </c>
      <c r="Q18" s="172"/>
      <c r="S18" s="242"/>
      <c r="T18" s="89"/>
      <c r="U18" s="141"/>
    </row>
    <row r="19">
      <c r="A19" s="226" t="s">
        <v>47</v>
      </c>
      <c r="B19" s="159" t="s">
        <v>89</v>
      </c>
      <c r="C19" s="178">
        <v>43849.0</v>
      </c>
      <c r="D19" s="179" t="s">
        <v>217</v>
      </c>
      <c r="E19" s="216">
        <v>1.0</v>
      </c>
      <c r="F19" s="163" t="s">
        <v>22</v>
      </c>
      <c r="G19" s="163" t="s">
        <v>24</v>
      </c>
      <c r="H19" s="235"/>
      <c r="I19" s="164"/>
      <c r="J19" s="229" t="s">
        <v>47</v>
      </c>
      <c r="K19" s="230">
        <f t="shared" si="2"/>
        <v>17</v>
      </c>
      <c r="L19" s="237"/>
      <c r="M19" s="238"/>
      <c r="N19" s="239"/>
      <c r="O19" s="240"/>
      <c r="P19" s="225" t="str">
        <f t="shared" si="1"/>
        <v/>
      </c>
      <c r="Q19" s="172"/>
      <c r="S19" s="182"/>
      <c r="T19" s="89"/>
      <c r="U19" s="141"/>
    </row>
    <row r="20">
      <c r="A20" s="226" t="s">
        <v>47</v>
      </c>
      <c r="B20" s="159" t="s">
        <v>97</v>
      </c>
      <c r="C20" s="178">
        <v>43850.0</v>
      </c>
      <c r="D20" s="179" t="s">
        <v>196</v>
      </c>
      <c r="E20" s="216">
        <v>4.0</v>
      </c>
      <c r="F20" s="163" t="s">
        <v>22</v>
      </c>
      <c r="G20" s="163" t="s">
        <v>24</v>
      </c>
      <c r="H20" s="227"/>
      <c r="I20" s="164"/>
      <c r="J20" s="229" t="s">
        <v>47</v>
      </c>
      <c r="K20" s="230">
        <f t="shared" si="2"/>
        <v>18</v>
      </c>
      <c r="L20" s="237"/>
      <c r="M20" s="238"/>
      <c r="N20" s="239"/>
      <c r="O20" s="240"/>
      <c r="P20" s="225" t="str">
        <f t="shared" si="1"/>
        <v/>
      </c>
      <c r="Q20" s="172"/>
      <c r="S20" s="182"/>
      <c r="T20" s="89"/>
      <c r="U20" s="141"/>
    </row>
    <row r="21">
      <c r="A21" s="226" t="s">
        <v>47</v>
      </c>
      <c r="B21" s="159" t="s">
        <v>82</v>
      </c>
      <c r="C21" s="178">
        <v>43853.0</v>
      </c>
      <c r="D21" s="179" t="s">
        <v>218</v>
      </c>
      <c r="E21" s="216">
        <v>100.0</v>
      </c>
      <c r="F21" s="163" t="s">
        <v>22</v>
      </c>
      <c r="G21" s="163" t="s">
        <v>24</v>
      </c>
      <c r="H21" s="235"/>
      <c r="I21" s="164"/>
      <c r="J21" s="229" t="s">
        <v>47</v>
      </c>
      <c r="K21" s="230">
        <f t="shared" si="2"/>
        <v>19</v>
      </c>
      <c r="L21" s="237"/>
      <c r="M21" s="238"/>
      <c r="N21" s="239"/>
      <c r="O21" s="240"/>
      <c r="P21" s="225" t="str">
        <f t="shared" si="1"/>
        <v/>
      </c>
      <c r="Q21" s="172"/>
      <c r="S21" s="242"/>
      <c r="T21" s="89"/>
      <c r="U21" s="141"/>
    </row>
    <row r="22">
      <c r="A22" s="226" t="s">
        <v>47</v>
      </c>
      <c r="B22" s="159" t="s">
        <v>97</v>
      </c>
      <c r="C22" s="178">
        <v>43857.0</v>
      </c>
      <c r="D22" s="179" t="s">
        <v>196</v>
      </c>
      <c r="E22" s="216">
        <v>8.0</v>
      </c>
      <c r="F22" s="163" t="s">
        <v>22</v>
      </c>
      <c r="G22" s="163" t="s">
        <v>24</v>
      </c>
      <c r="H22" s="227"/>
      <c r="I22" s="164"/>
      <c r="J22" s="229" t="s">
        <v>47</v>
      </c>
      <c r="K22" s="230">
        <f t="shared" si="2"/>
        <v>20</v>
      </c>
      <c r="L22" s="237"/>
      <c r="M22" s="238"/>
      <c r="N22" s="239"/>
      <c r="O22" s="240"/>
      <c r="P22" s="225" t="str">
        <f t="shared" si="1"/>
        <v/>
      </c>
      <c r="Q22" s="172"/>
      <c r="S22" s="182"/>
      <c r="T22" s="89"/>
      <c r="U22" s="141"/>
    </row>
    <row r="23">
      <c r="A23" s="226" t="s">
        <v>47</v>
      </c>
      <c r="B23" s="159" t="s">
        <v>89</v>
      </c>
      <c r="C23" s="178">
        <v>43857.0</v>
      </c>
      <c r="D23" s="179" t="s">
        <v>219</v>
      </c>
      <c r="E23" s="216">
        <v>7.0</v>
      </c>
      <c r="F23" s="163" t="s">
        <v>26</v>
      </c>
      <c r="G23" s="163" t="s">
        <v>27</v>
      </c>
      <c r="H23" s="235"/>
      <c r="I23" s="164"/>
      <c r="J23" s="229" t="s">
        <v>47</v>
      </c>
      <c r="K23" s="230">
        <f t="shared" si="2"/>
        <v>21</v>
      </c>
      <c r="L23" s="237"/>
      <c r="M23" s="238"/>
      <c r="N23" s="239"/>
      <c r="O23" s="240"/>
      <c r="P23" s="225" t="str">
        <f t="shared" si="1"/>
        <v/>
      </c>
      <c r="Q23" s="172"/>
      <c r="S23" s="182"/>
      <c r="T23" s="89"/>
      <c r="U23" s="141"/>
    </row>
    <row r="24">
      <c r="A24" s="226" t="s">
        <v>47</v>
      </c>
      <c r="B24" s="159" t="s">
        <v>93</v>
      </c>
      <c r="C24" s="178">
        <v>43858.0</v>
      </c>
      <c r="D24" s="179" t="s">
        <v>220</v>
      </c>
      <c r="E24" s="216">
        <v>20.0</v>
      </c>
      <c r="F24" s="163" t="s">
        <v>14</v>
      </c>
      <c r="G24" s="163" t="s">
        <v>16</v>
      </c>
      <c r="H24" s="227"/>
      <c r="I24" s="164"/>
      <c r="J24" s="229" t="s">
        <v>47</v>
      </c>
      <c r="K24" s="230">
        <f t="shared" si="2"/>
        <v>22</v>
      </c>
      <c r="L24" s="237"/>
      <c r="M24" s="238"/>
      <c r="N24" s="239"/>
      <c r="O24" s="240"/>
      <c r="P24" s="225" t="str">
        <f t="shared" si="1"/>
        <v/>
      </c>
      <c r="Q24" s="172"/>
      <c r="S24" s="182"/>
      <c r="T24" s="89"/>
      <c r="U24" s="141"/>
    </row>
    <row r="25">
      <c r="A25" s="226" t="s">
        <v>47</v>
      </c>
      <c r="B25" s="159" t="s">
        <v>93</v>
      </c>
      <c r="C25" s="178">
        <v>43858.0</v>
      </c>
      <c r="D25" s="179" t="s">
        <v>220</v>
      </c>
      <c r="E25" s="216">
        <v>4.0</v>
      </c>
      <c r="F25" s="163" t="s">
        <v>22</v>
      </c>
      <c r="G25" s="163" t="s">
        <v>24</v>
      </c>
      <c r="H25" s="235"/>
      <c r="I25" s="164"/>
      <c r="J25" s="229" t="s">
        <v>47</v>
      </c>
      <c r="K25" s="230">
        <f t="shared" si="2"/>
        <v>23</v>
      </c>
      <c r="L25" s="237"/>
      <c r="M25" s="238"/>
      <c r="N25" s="239"/>
      <c r="O25" s="240"/>
      <c r="P25" s="225" t="str">
        <f t="shared" si="1"/>
        <v/>
      </c>
      <c r="Q25" s="172"/>
    </row>
    <row r="26">
      <c r="A26" s="226" t="s">
        <v>47</v>
      </c>
      <c r="B26" s="159" t="s">
        <v>97</v>
      </c>
      <c r="C26" s="178">
        <v>43861.0</v>
      </c>
      <c r="D26" s="179" t="s">
        <v>221</v>
      </c>
      <c r="E26" s="216">
        <v>20.0</v>
      </c>
      <c r="F26" s="163" t="s">
        <v>22</v>
      </c>
      <c r="G26" s="163" t="s">
        <v>24</v>
      </c>
      <c r="H26" s="227"/>
      <c r="I26" s="164"/>
      <c r="J26" s="229" t="s">
        <v>47</v>
      </c>
      <c r="K26" s="230">
        <f t="shared" si="2"/>
        <v>24</v>
      </c>
      <c r="L26" s="237"/>
      <c r="M26" s="238"/>
      <c r="N26" s="239"/>
      <c r="O26" s="240"/>
      <c r="P26" s="225" t="str">
        <f t="shared" si="1"/>
        <v/>
      </c>
      <c r="Q26" s="172"/>
    </row>
    <row r="27">
      <c r="A27" s="226" t="s">
        <v>47</v>
      </c>
      <c r="B27" s="159" t="s">
        <v>89</v>
      </c>
      <c r="C27" s="178">
        <v>43861.0</v>
      </c>
      <c r="D27" s="179" t="s">
        <v>222</v>
      </c>
      <c r="E27" s="216">
        <v>120.0</v>
      </c>
      <c r="F27" s="163" t="s">
        <v>26</v>
      </c>
      <c r="G27" s="163" t="s">
        <v>27</v>
      </c>
      <c r="H27" s="235"/>
      <c r="I27" s="155"/>
      <c r="J27" s="229" t="s">
        <v>47</v>
      </c>
      <c r="K27" s="230">
        <f t="shared" si="2"/>
        <v>25</v>
      </c>
      <c r="L27" s="243"/>
      <c r="M27" s="151"/>
      <c r="N27" s="244"/>
      <c r="O27" s="245"/>
      <c r="P27" s="225" t="str">
        <f t="shared" si="1"/>
        <v/>
      </c>
      <c r="Q27" s="172"/>
    </row>
    <row r="28">
      <c r="A28" s="226" t="s">
        <v>47</v>
      </c>
      <c r="B28" s="159" t="s">
        <v>107</v>
      </c>
      <c r="C28" s="178">
        <v>43843.0</v>
      </c>
      <c r="D28" s="179" t="s">
        <v>223</v>
      </c>
      <c r="E28" s="246">
        <v>540.07</v>
      </c>
      <c r="F28" s="163" t="s">
        <v>14</v>
      </c>
      <c r="G28" s="163" t="s">
        <v>16</v>
      </c>
      <c r="H28" s="247" t="s">
        <v>17</v>
      </c>
      <c r="I28" s="155"/>
      <c r="J28" s="229" t="s">
        <v>47</v>
      </c>
      <c r="K28" s="230">
        <f t="shared" si="2"/>
        <v>26</v>
      </c>
      <c r="L28" s="243"/>
      <c r="M28" s="151"/>
      <c r="N28" s="244"/>
      <c r="O28" s="245"/>
      <c r="P28" s="225" t="str">
        <f t="shared" si="1"/>
        <v/>
      </c>
      <c r="Q28" s="172"/>
    </row>
    <row r="29">
      <c r="A29" s="226" t="s">
        <v>47</v>
      </c>
      <c r="B29" s="159"/>
      <c r="C29" s="178"/>
      <c r="D29" s="179"/>
      <c r="E29" s="246"/>
      <c r="F29" s="163"/>
      <c r="G29" s="163"/>
      <c r="H29" s="235"/>
      <c r="I29" s="155"/>
      <c r="J29" s="229" t="s">
        <v>47</v>
      </c>
      <c r="K29" s="230">
        <f t="shared" si="2"/>
        <v>27</v>
      </c>
      <c r="L29" s="243"/>
      <c r="M29" s="151"/>
      <c r="N29" s="244"/>
      <c r="O29" s="245"/>
      <c r="P29" s="225" t="str">
        <f t="shared" si="1"/>
        <v/>
      </c>
      <c r="Q29" s="172"/>
    </row>
    <row r="30">
      <c r="A30" s="226" t="s">
        <v>47</v>
      </c>
      <c r="B30" s="159"/>
      <c r="C30" s="178"/>
      <c r="D30" s="179"/>
      <c r="E30" s="246"/>
      <c r="F30" s="163"/>
      <c r="G30" s="163"/>
      <c r="H30" s="227"/>
      <c r="I30" s="155"/>
      <c r="J30" s="229" t="s">
        <v>47</v>
      </c>
      <c r="K30" s="230">
        <f t="shared" si="2"/>
        <v>28</v>
      </c>
      <c r="L30" s="243"/>
      <c r="M30" s="151"/>
      <c r="N30" s="244"/>
      <c r="O30" s="245"/>
      <c r="P30" s="225" t="str">
        <f t="shared" si="1"/>
        <v/>
      </c>
      <c r="Q30" s="172"/>
    </row>
    <row r="31">
      <c r="A31" s="226" t="s">
        <v>47</v>
      </c>
      <c r="B31" s="159"/>
      <c r="C31" s="178"/>
      <c r="D31" s="179"/>
      <c r="E31" s="246"/>
      <c r="F31" s="163"/>
      <c r="G31" s="163"/>
      <c r="H31" s="235"/>
      <c r="I31" s="155"/>
      <c r="J31" s="229" t="s">
        <v>47</v>
      </c>
      <c r="K31" s="230">
        <f t="shared" si="2"/>
        <v>29</v>
      </c>
      <c r="L31" s="243"/>
      <c r="M31" s="151"/>
      <c r="N31" s="244"/>
      <c r="O31" s="245"/>
      <c r="P31" s="225" t="str">
        <f t="shared" si="1"/>
        <v/>
      </c>
      <c r="Q31" s="172"/>
    </row>
    <row r="32">
      <c r="A32" s="226" t="s">
        <v>47</v>
      </c>
      <c r="B32" s="159"/>
      <c r="C32" s="178"/>
      <c r="D32" s="179"/>
      <c r="E32" s="246"/>
      <c r="F32" s="163"/>
      <c r="G32" s="163"/>
      <c r="H32" s="227"/>
      <c r="I32" s="155"/>
      <c r="J32" s="229" t="s">
        <v>47</v>
      </c>
      <c r="K32" s="230">
        <f t="shared" si="2"/>
        <v>30</v>
      </c>
      <c r="L32" s="243"/>
      <c r="M32" s="151"/>
      <c r="N32" s="244"/>
      <c r="O32" s="245"/>
      <c r="P32" s="225" t="str">
        <f t="shared" si="1"/>
        <v/>
      </c>
      <c r="Q32" s="172"/>
    </row>
    <row r="33">
      <c r="A33" s="226" t="s">
        <v>47</v>
      </c>
      <c r="B33" s="159"/>
      <c r="C33" s="178"/>
      <c r="D33" s="179"/>
      <c r="E33" s="246"/>
      <c r="F33" s="163"/>
      <c r="G33" s="163"/>
      <c r="H33" s="235"/>
      <c r="I33" s="155"/>
      <c r="J33" s="229" t="s">
        <v>47</v>
      </c>
      <c r="K33" s="230">
        <f t="shared" si="2"/>
        <v>31</v>
      </c>
      <c r="L33" s="243"/>
      <c r="M33" s="151"/>
      <c r="N33" s="244"/>
      <c r="O33" s="245"/>
      <c r="P33" s="225" t="str">
        <f t="shared" si="1"/>
        <v/>
      </c>
      <c r="Q33" s="173"/>
    </row>
    <row r="34">
      <c r="A34" s="226" t="s">
        <v>47</v>
      </c>
      <c r="B34" s="159"/>
      <c r="C34" s="178"/>
      <c r="D34" s="179"/>
      <c r="E34" s="246"/>
      <c r="F34" s="163"/>
      <c r="G34" s="163"/>
      <c r="H34" s="227"/>
      <c r="I34" s="155"/>
      <c r="J34" s="229" t="s">
        <v>47</v>
      </c>
      <c r="K34" s="230">
        <f t="shared" si="2"/>
        <v>32</v>
      </c>
      <c r="L34" s="243"/>
      <c r="M34" s="163"/>
      <c r="N34" s="223"/>
      <c r="O34" s="224"/>
      <c r="P34" s="225" t="str">
        <f t="shared" si="1"/>
        <v/>
      </c>
      <c r="Q34" s="173"/>
    </row>
    <row r="35">
      <c r="A35" s="226" t="s">
        <v>47</v>
      </c>
      <c r="B35" s="159"/>
      <c r="C35" s="178"/>
      <c r="D35" s="179"/>
      <c r="E35" s="246"/>
      <c r="F35" s="163"/>
      <c r="G35" s="163"/>
      <c r="H35" s="235"/>
      <c r="I35" s="155"/>
      <c r="J35" s="229" t="s">
        <v>47</v>
      </c>
      <c r="K35" s="230">
        <f t="shared" si="2"/>
        <v>33</v>
      </c>
      <c r="L35" s="243"/>
      <c r="M35" s="163"/>
      <c r="N35" s="223"/>
      <c r="O35" s="224"/>
      <c r="P35" s="225" t="str">
        <f t="shared" si="1"/>
        <v/>
      </c>
      <c r="Q35" s="173"/>
    </row>
    <row r="36">
      <c r="A36" s="226" t="s">
        <v>47</v>
      </c>
      <c r="B36" s="159"/>
      <c r="C36" s="178"/>
      <c r="D36" s="179"/>
      <c r="E36" s="246"/>
      <c r="F36" s="163"/>
      <c r="G36" s="163"/>
      <c r="H36" s="227"/>
      <c r="I36" s="155"/>
      <c r="J36" s="229" t="s">
        <v>47</v>
      </c>
      <c r="K36" s="230">
        <f t="shared" si="2"/>
        <v>34</v>
      </c>
      <c r="L36" s="243"/>
      <c r="M36" s="248"/>
      <c r="N36" s="223"/>
      <c r="O36" s="224"/>
      <c r="P36" s="225" t="str">
        <f t="shared" si="1"/>
        <v/>
      </c>
      <c r="Q36" s="173"/>
    </row>
    <row r="37">
      <c r="A37" s="226" t="s">
        <v>47</v>
      </c>
      <c r="B37" s="159"/>
      <c r="C37" s="178"/>
      <c r="D37" s="179"/>
      <c r="E37" s="246"/>
      <c r="F37" s="163"/>
      <c r="G37" s="163"/>
      <c r="H37" s="235"/>
      <c r="I37" s="155"/>
      <c r="J37" s="229" t="s">
        <v>47</v>
      </c>
      <c r="K37" s="230">
        <f t="shared" si="2"/>
        <v>35</v>
      </c>
      <c r="L37" s="243"/>
      <c r="M37" s="248"/>
      <c r="N37" s="223"/>
      <c r="O37" s="224"/>
      <c r="P37" s="225" t="str">
        <f t="shared" si="1"/>
        <v/>
      </c>
      <c r="Q37" s="173"/>
    </row>
    <row r="38">
      <c r="A38" s="226" t="s">
        <v>47</v>
      </c>
      <c r="B38" s="159"/>
      <c r="C38" s="178"/>
      <c r="D38" s="179"/>
      <c r="E38" s="246"/>
      <c r="F38" s="163"/>
      <c r="G38" s="163"/>
      <c r="H38" s="227"/>
      <c r="I38" s="155"/>
      <c r="J38" s="229" t="s">
        <v>47</v>
      </c>
      <c r="K38" s="230">
        <f t="shared" si="2"/>
        <v>36</v>
      </c>
      <c r="L38" s="243"/>
      <c r="M38" s="248"/>
      <c r="N38" s="223"/>
      <c r="O38" s="224"/>
      <c r="P38" s="225" t="str">
        <f t="shared" si="1"/>
        <v/>
      </c>
      <c r="Q38" s="173"/>
    </row>
    <row r="39">
      <c r="A39" s="226" t="s">
        <v>47</v>
      </c>
      <c r="B39" s="159"/>
      <c r="C39" s="178"/>
      <c r="D39" s="179"/>
      <c r="E39" s="246"/>
      <c r="F39" s="163"/>
      <c r="G39" s="163"/>
      <c r="H39" s="235"/>
      <c r="I39" s="155"/>
      <c r="J39" s="229" t="s">
        <v>47</v>
      </c>
      <c r="K39" s="230">
        <f t="shared" si="2"/>
        <v>37</v>
      </c>
      <c r="L39" s="243"/>
      <c r="M39" s="249"/>
      <c r="N39" s="244"/>
      <c r="O39" s="245"/>
      <c r="P39" s="225" t="str">
        <f t="shared" si="1"/>
        <v/>
      </c>
      <c r="Q39" s="173"/>
    </row>
    <row r="40">
      <c r="A40" s="226" t="s">
        <v>47</v>
      </c>
      <c r="B40" s="159"/>
      <c r="C40" s="178"/>
      <c r="D40" s="179"/>
      <c r="E40" s="246"/>
      <c r="F40" s="163"/>
      <c r="G40" s="163"/>
      <c r="H40" s="227"/>
      <c r="I40" s="155"/>
      <c r="J40" s="229" t="s">
        <v>47</v>
      </c>
      <c r="K40" s="230">
        <f t="shared" si="2"/>
        <v>38</v>
      </c>
      <c r="L40" s="243"/>
      <c r="M40" s="249"/>
      <c r="N40" s="244"/>
      <c r="O40" s="245"/>
      <c r="P40" s="225" t="str">
        <f t="shared" si="1"/>
        <v/>
      </c>
      <c r="Q40" s="173"/>
    </row>
    <row r="41">
      <c r="A41" s="226" t="s">
        <v>47</v>
      </c>
      <c r="B41" s="159"/>
      <c r="C41" s="178"/>
      <c r="D41" s="179"/>
      <c r="E41" s="246"/>
      <c r="F41" s="163"/>
      <c r="G41" s="163"/>
      <c r="H41" s="235"/>
      <c r="I41" s="155"/>
      <c r="J41" s="229" t="s">
        <v>47</v>
      </c>
      <c r="K41" s="230">
        <f t="shared" si="2"/>
        <v>39</v>
      </c>
      <c r="L41" s="243"/>
      <c r="M41" s="249"/>
      <c r="N41" s="244"/>
      <c r="O41" s="245"/>
      <c r="P41" s="225" t="str">
        <f t="shared" si="1"/>
        <v/>
      </c>
      <c r="Q41" s="173"/>
    </row>
    <row r="42">
      <c r="A42" s="226" t="s">
        <v>47</v>
      </c>
      <c r="B42" s="159"/>
      <c r="C42" s="178"/>
      <c r="D42" s="179"/>
      <c r="E42" s="246"/>
      <c r="F42" s="163"/>
      <c r="G42" s="163"/>
      <c r="H42" s="227"/>
      <c r="I42" s="155"/>
      <c r="J42" s="229" t="s">
        <v>47</v>
      </c>
      <c r="K42" s="230">
        <f t="shared" si="2"/>
        <v>40</v>
      </c>
      <c r="L42" s="243"/>
      <c r="M42" s="248"/>
      <c r="N42" s="244"/>
      <c r="O42" s="224"/>
      <c r="P42" s="225" t="str">
        <f t="shared" si="1"/>
        <v/>
      </c>
      <c r="Q42" s="173"/>
    </row>
    <row r="43">
      <c r="A43" s="250" t="s">
        <v>47</v>
      </c>
      <c r="B43" s="159"/>
      <c r="C43" s="178"/>
      <c r="D43" s="179"/>
      <c r="E43" s="246"/>
      <c r="F43" s="163"/>
      <c r="G43" s="197"/>
      <c r="H43" s="251"/>
      <c r="I43" s="155"/>
      <c r="J43" s="252" t="s">
        <v>47</v>
      </c>
      <c r="K43" s="230">
        <f t="shared" si="2"/>
        <v>41</v>
      </c>
      <c r="L43" s="253"/>
      <c r="M43" s="254"/>
      <c r="N43" s="255"/>
      <c r="O43" s="256"/>
      <c r="P43" s="257" t="str">
        <f t="shared" si="1"/>
        <v/>
      </c>
      <c r="Q43" s="258"/>
    </row>
    <row r="44">
      <c r="B44" s="186"/>
      <c r="C44" s="186"/>
      <c r="D44" s="186"/>
      <c r="E44" s="186"/>
      <c r="F44" s="186"/>
      <c r="G44" s="141"/>
      <c r="H44" s="155"/>
      <c r="I44" s="155"/>
      <c r="K44" s="259"/>
      <c r="L44" s="155"/>
      <c r="M44" s="260"/>
      <c r="N44" s="177"/>
      <c r="O44" s="259"/>
      <c r="P44" s="80"/>
    </row>
    <row r="45">
      <c r="A45" s="215" t="s">
        <v>48</v>
      </c>
      <c r="B45" s="187" t="s">
        <v>75</v>
      </c>
      <c r="C45" s="188">
        <v>43862.0</v>
      </c>
      <c r="D45" s="189" t="s">
        <v>224</v>
      </c>
      <c r="E45" s="261">
        <v>5.0</v>
      </c>
      <c r="F45" s="153" t="s">
        <v>22</v>
      </c>
      <c r="G45" s="153" t="s">
        <v>24</v>
      </c>
      <c r="H45" s="217"/>
      <c r="I45" s="155"/>
      <c r="J45" s="219" t="s">
        <v>48</v>
      </c>
      <c r="K45" s="262">
        <f>K43+1</f>
        <v>42</v>
      </c>
      <c r="L45" s="263">
        <v>43870.0</v>
      </c>
      <c r="M45" s="264" t="s">
        <v>225</v>
      </c>
      <c r="N45" s="265">
        <v>110.0</v>
      </c>
      <c r="O45" s="266">
        <v>1.0</v>
      </c>
      <c r="P45" s="267">
        <f t="shared" ref="P45:P46" si="3">iferror($N45/$O45,"")</f>
        <v>110</v>
      </c>
      <c r="Q45" s="191" t="s">
        <v>14</v>
      </c>
    </row>
    <row r="46">
      <c r="A46" s="226" t="s">
        <v>48</v>
      </c>
      <c r="B46" s="159" t="s">
        <v>109</v>
      </c>
      <c r="C46" s="178">
        <v>43862.0</v>
      </c>
      <c r="D46" s="179" t="s">
        <v>218</v>
      </c>
      <c r="E46" s="268">
        <v>100.0</v>
      </c>
      <c r="F46" s="163" t="s">
        <v>22</v>
      </c>
      <c r="G46" s="163" t="s">
        <v>24</v>
      </c>
      <c r="H46" s="227"/>
      <c r="I46" s="155"/>
      <c r="J46" s="229" t="s">
        <v>48</v>
      </c>
      <c r="K46" s="230">
        <f t="shared" ref="K46:K85" si="4">K45+1</f>
        <v>43</v>
      </c>
      <c r="L46" s="231">
        <v>43869.0</v>
      </c>
      <c r="M46" s="232" t="s">
        <v>226</v>
      </c>
      <c r="N46" s="233">
        <v>66.0</v>
      </c>
      <c r="O46" s="234">
        <v>1.0</v>
      </c>
      <c r="P46" s="225">
        <f t="shared" si="3"/>
        <v>66</v>
      </c>
      <c r="Q46" s="172" t="s">
        <v>14</v>
      </c>
    </row>
    <row r="47">
      <c r="A47" s="226" t="s">
        <v>48</v>
      </c>
      <c r="B47" s="159" t="s">
        <v>75</v>
      </c>
      <c r="C47" s="178">
        <v>43832.0</v>
      </c>
      <c r="D47" s="179" t="s">
        <v>227</v>
      </c>
      <c r="E47" s="268">
        <v>2.0</v>
      </c>
      <c r="F47" s="163" t="s">
        <v>22</v>
      </c>
      <c r="G47" s="163" t="s">
        <v>24</v>
      </c>
      <c r="H47" s="235"/>
      <c r="I47" s="155"/>
      <c r="J47" s="229" t="s">
        <v>48</v>
      </c>
      <c r="K47" s="230">
        <f t="shared" si="4"/>
        <v>44</v>
      </c>
      <c r="L47" s="231"/>
      <c r="M47" s="232"/>
      <c r="N47" s="233"/>
      <c r="O47" s="234"/>
      <c r="P47" s="225"/>
      <c r="Q47" s="172"/>
    </row>
    <row r="48">
      <c r="A48" s="226" t="s">
        <v>48</v>
      </c>
      <c r="B48" s="159" t="s">
        <v>93</v>
      </c>
      <c r="C48" s="178">
        <v>43832.0</v>
      </c>
      <c r="D48" s="179" t="s">
        <v>228</v>
      </c>
      <c r="E48" s="268">
        <v>2.0</v>
      </c>
      <c r="F48" s="163" t="s">
        <v>22</v>
      </c>
      <c r="G48" s="163" t="s">
        <v>24</v>
      </c>
      <c r="H48" s="227"/>
      <c r="I48" s="155"/>
      <c r="J48" s="229" t="s">
        <v>48</v>
      </c>
      <c r="K48" s="230">
        <f t="shared" si="4"/>
        <v>45</v>
      </c>
      <c r="L48" s="231">
        <v>43878.0</v>
      </c>
      <c r="M48" s="232" t="s">
        <v>229</v>
      </c>
      <c r="N48" s="233">
        <v>7.9</v>
      </c>
      <c r="O48" s="234">
        <v>1.0</v>
      </c>
      <c r="P48" s="225">
        <f t="shared" ref="P48:P85" si="5">iferror($N48/$O48,"")</f>
        <v>7.9</v>
      </c>
      <c r="Q48" s="172" t="s">
        <v>14</v>
      </c>
      <c r="S48" s="181"/>
    </row>
    <row r="49">
      <c r="A49" s="226" t="s">
        <v>48</v>
      </c>
      <c r="B49" s="159" t="s">
        <v>75</v>
      </c>
      <c r="C49" s="178">
        <v>43865.0</v>
      </c>
      <c r="D49" s="179" t="s">
        <v>230</v>
      </c>
      <c r="E49" s="268">
        <v>5.0</v>
      </c>
      <c r="F49" s="163" t="s">
        <v>22</v>
      </c>
      <c r="G49" s="163" t="s">
        <v>24</v>
      </c>
      <c r="H49" s="235"/>
      <c r="I49" s="155"/>
      <c r="J49" s="229" t="s">
        <v>48</v>
      </c>
      <c r="K49" s="230">
        <f t="shared" si="4"/>
        <v>46</v>
      </c>
      <c r="L49" s="237"/>
      <c r="M49" s="238"/>
      <c r="N49" s="239"/>
      <c r="O49" s="240"/>
      <c r="P49" s="225" t="str">
        <f t="shared" si="5"/>
        <v/>
      </c>
      <c r="Q49" s="172"/>
      <c r="S49" s="181"/>
    </row>
    <row r="50">
      <c r="A50" s="226" t="s">
        <v>48</v>
      </c>
      <c r="B50" s="159" t="s">
        <v>109</v>
      </c>
      <c r="C50" s="178">
        <v>43837.0</v>
      </c>
      <c r="D50" s="179" t="s">
        <v>231</v>
      </c>
      <c r="E50" s="268">
        <v>19.0</v>
      </c>
      <c r="F50" s="163" t="s">
        <v>14</v>
      </c>
      <c r="G50" s="163" t="s">
        <v>16</v>
      </c>
      <c r="H50" s="227"/>
      <c r="I50" s="155"/>
      <c r="J50" s="229" t="s">
        <v>48</v>
      </c>
      <c r="K50" s="230">
        <f t="shared" si="4"/>
        <v>47</v>
      </c>
      <c r="L50" s="237"/>
      <c r="M50" s="238"/>
      <c r="N50" s="239"/>
      <c r="O50" s="240"/>
      <c r="P50" s="225" t="str">
        <f t="shared" si="5"/>
        <v/>
      </c>
      <c r="Q50" s="172"/>
      <c r="S50" s="260"/>
    </row>
    <row r="51">
      <c r="A51" s="226" t="s">
        <v>48</v>
      </c>
      <c r="B51" s="159" t="s">
        <v>109</v>
      </c>
      <c r="C51" s="178">
        <v>43868.0</v>
      </c>
      <c r="D51" s="179" t="s">
        <v>232</v>
      </c>
      <c r="E51" s="268">
        <v>23.35</v>
      </c>
      <c r="F51" s="163" t="s">
        <v>26</v>
      </c>
      <c r="G51" s="163" t="s">
        <v>27</v>
      </c>
      <c r="H51" s="235"/>
      <c r="I51" s="155"/>
      <c r="J51" s="229" t="s">
        <v>48</v>
      </c>
      <c r="K51" s="230">
        <f t="shared" si="4"/>
        <v>48</v>
      </c>
      <c r="L51" s="237"/>
      <c r="M51" s="238"/>
      <c r="N51" s="239"/>
      <c r="O51" s="240"/>
      <c r="P51" s="225" t="str">
        <f t="shared" si="5"/>
        <v/>
      </c>
      <c r="Q51" s="172"/>
      <c r="S51" s="181"/>
    </row>
    <row r="52">
      <c r="A52" s="226" t="s">
        <v>48</v>
      </c>
      <c r="B52" s="159" t="s">
        <v>89</v>
      </c>
      <c r="C52" s="178">
        <v>43838.0</v>
      </c>
      <c r="D52" s="179" t="s">
        <v>226</v>
      </c>
      <c r="E52" s="268">
        <v>17.0</v>
      </c>
      <c r="F52" s="163" t="s">
        <v>14</v>
      </c>
      <c r="G52" s="163" t="s">
        <v>16</v>
      </c>
      <c r="H52" s="227"/>
      <c r="I52" s="155"/>
      <c r="J52" s="229" t="s">
        <v>48</v>
      </c>
      <c r="K52" s="230">
        <f t="shared" si="4"/>
        <v>49</v>
      </c>
      <c r="L52" s="237"/>
      <c r="M52" s="238"/>
      <c r="N52" s="239"/>
      <c r="O52" s="240"/>
      <c r="P52" s="225" t="str">
        <f t="shared" si="5"/>
        <v/>
      </c>
      <c r="Q52" s="172"/>
      <c r="S52" s="181"/>
      <c r="T52" s="156"/>
      <c r="U52" s="89"/>
      <c r="V52" s="141"/>
    </row>
    <row r="53">
      <c r="A53" s="226" t="s">
        <v>48</v>
      </c>
      <c r="B53" s="159" t="s">
        <v>109</v>
      </c>
      <c r="C53" s="178">
        <v>43838.0</v>
      </c>
      <c r="D53" s="179" t="s">
        <v>218</v>
      </c>
      <c r="E53" s="268">
        <v>100.0</v>
      </c>
      <c r="F53" s="163" t="s">
        <v>22</v>
      </c>
      <c r="G53" s="163" t="s">
        <v>24</v>
      </c>
      <c r="H53" s="235"/>
      <c r="I53" s="155"/>
      <c r="J53" s="229" t="s">
        <v>48</v>
      </c>
      <c r="K53" s="230">
        <f t="shared" si="4"/>
        <v>50</v>
      </c>
      <c r="L53" s="237"/>
      <c r="M53" s="238"/>
      <c r="N53" s="239"/>
      <c r="O53" s="240"/>
      <c r="P53" s="225" t="str">
        <f t="shared" si="5"/>
        <v/>
      </c>
      <c r="Q53" s="172"/>
      <c r="S53" s="181"/>
      <c r="T53" s="156"/>
      <c r="U53" s="89"/>
      <c r="V53" s="141"/>
    </row>
    <row r="54">
      <c r="A54" s="226" t="s">
        <v>48</v>
      </c>
      <c r="B54" s="159" t="s">
        <v>82</v>
      </c>
      <c r="C54" s="178">
        <v>43871.0</v>
      </c>
      <c r="D54" s="179" t="s">
        <v>168</v>
      </c>
      <c r="E54" s="268">
        <v>72.0</v>
      </c>
      <c r="F54" s="163" t="s">
        <v>26</v>
      </c>
      <c r="G54" s="163" t="s">
        <v>27</v>
      </c>
      <c r="H54" s="227"/>
      <c r="I54" s="155"/>
      <c r="J54" s="229" t="s">
        <v>48</v>
      </c>
      <c r="K54" s="230">
        <f t="shared" si="4"/>
        <v>51</v>
      </c>
      <c r="L54" s="237"/>
      <c r="M54" s="238"/>
      <c r="N54" s="239"/>
      <c r="O54" s="240"/>
      <c r="P54" s="225" t="str">
        <f t="shared" si="5"/>
        <v/>
      </c>
      <c r="Q54" s="172"/>
      <c r="S54" s="181"/>
      <c r="T54" s="156"/>
      <c r="U54" s="89"/>
      <c r="V54" s="141"/>
    </row>
    <row r="55">
      <c r="A55" s="226" t="s">
        <v>48</v>
      </c>
      <c r="B55" s="159" t="s">
        <v>109</v>
      </c>
      <c r="C55" s="178">
        <v>43873.0</v>
      </c>
      <c r="D55" s="179" t="s">
        <v>218</v>
      </c>
      <c r="E55" s="268">
        <v>100.0</v>
      </c>
      <c r="F55" s="163" t="s">
        <v>22</v>
      </c>
      <c r="G55" s="163" t="s">
        <v>24</v>
      </c>
      <c r="H55" s="235"/>
      <c r="I55" s="155"/>
      <c r="J55" s="229" t="s">
        <v>48</v>
      </c>
      <c r="K55" s="230">
        <f t="shared" si="4"/>
        <v>52</v>
      </c>
      <c r="L55" s="237"/>
      <c r="M55" s="238"/>
      <c r="N55" s="239"/>
      <c r="O55" s="240"/>
      <c r="P55" s="225" t="str">
        <f t="shared" si="5"/>
        <v/>
      </c>
      <c r="Q55" s="172"/>
      <c r="S55" s="181"/>
      <c r="T55" s="156"/>
      <c r="U55" s="89"/>
      <c r="V55" s="141"/>
    </row>
    <row r="56">
      <c r="A56" s="226" t="s">
        <v>48</v>
      </c>
      <c r="B56" s="159" t="s">
        <v>82</v>
      </c>
      <c r="C56" s="178">
        <v>43878.0</v>
      </c>
      <c r="D56" s="179" t="s">
        <v>233</v>
      </c>
      <c r="E56" s="268">
        <v>145.46</v>
      </c>
      <c r="F56" s="163" t="s">
        <v>26</v>
      </c>
      <c r="G56" s="163" t="s">
        <v>27</v>
      </c>
      <c r="H56" s="227"/>
      <c r="I56" s="155"/>
      <c r="J56" s="229" t="s">
        <v>48</v>
      </c>
      <c r="K56" s="230">
        <f t="shared" si="4"/>
        <v>53</v>
      </c>
      <c r="L56" s="237"/>
      <c r="M56" s="238"/>
      <c r="N56" s="239"/>
      <c r="O56" s="240"/>
      <c r="P56" s="225" t="str">
        <f t="shared" si="5"/>
        <v/>
      </c>
      <c r="Q56" s="172"/>
      <c r="S56" s="181"/>
      <c r="T56" s="156"/>
      <c r="U56" s="89"/>
      <c r="V56" s="141"/>
    </row>
    <row r="57">
      <c r="A57" s="226" t="s">
        <v>48</v>
      </c>
      <c r="B57" s="159" t="s">
        <v>109</v>
      </c>
      <c r="C57" s="178">
        <v>43878.0</v>
      </c>
      <c r="D57" s="179" t="s">
        <v>218</v>
      </c>
      <c r="E57" s="268">
        <v>110.0</v>
      </c>
      <c r="F57" s="163" t="s">
        <v>22</v>
      </c>
      <c r="G57" s="163" t="s">
        <v>24</v>
      </c>
      <c r="H57" s="235"/>
      <c r="I57" s="155"/>
      <c r="J57" s="229" t="s">
        <v>48</v>
      </c>
      <c r="K57" s="230">
        <f t="shared" si="4"/>
        <v>54</v>
      </c>
      <c r="L57" s="237"/>
      <c r="M57" s="238"/>
      <c r="N57" s="239"/>
      <c r="O57" s="240"/>
      <c r="P57" s="225" t="str">
        <f t="shared" si="5"/>
        <v/>
      </c>
      <c r="Q57" s="172"/>
    </row>
    <row r="58">
      <c r="A58" s="226" t="s">
        <v>48</v>
      </c>
      <c r="B58" s="159" t="s">
        <v>89</v>
      </c>
      <c r="C58" s="178">
        <v>43882.0</v>
      </c>
      <c r="D58" s="179" t="s">
        <v>207</v>
      </c>
      <c r="E58" s="268">
        <v>80.0</v>
      </c>
      <c r="F58" s="163" t="s">
        <v>26</v>
      </c>
      <c r="G58" s="163" t="s">
        <v>27</v>
      </c>
      <c r="H58" s="227"/>
      <c r="I58" s="155"/>
      <c r="J58" s="229" t="s">
        <v>48</v>
      </c>
      <c r="K58" s="230">
        <f t="shared" si="4"/>
        <v>55</v>
      </c>
      <c r="L58" s="237"/>
      <c r="M58" s="238"/>
      <c r="N58" s="239"/>
      <c r="O58" s="240"/>
      <c r="P58" s="225" t="str">
        <f t="shared" si="5"/>
        <v/>
      </c>
      <c r="Q58" s="172"/>
      <c r="S58" s="181"/>
      <c r="T58" s="156"/>
      <c r="U58" s="89"/>
      <c r="V58" s="141"/>
    </row>
    <row r="59">
      <c r="A59" s="226" t="s">
        <v>48</v>
      </c>
      <c r="B59" s="159" t="s">
        <v>89</v>
      </c>
      <c r="C59" s="178">
        <v>43882.0</v>
      </c>
      <c r="D59" s="179" t="s">
        <v>234</v>
      </c>
      <c r="E59" s="268">
        <v>80.0</v>
      </c>
      <c r="F59" s="163" t="s">
        <v>26</v>
      </c>
      <c r="G59" s="163" t="s">
        <v>27</v>
      </c>
      <c r="H59" s="235"/>
      <c r="I59" s="155"/>
      <c r="J59" s="229" t="s">
        <v>48</v>
      </c>
      <c r="K59" s="230">
        <f t="shared" si="4"/>
        <v>56</v>
      </c>
      <c r="L59" s="237"/>
      <c r="M59" s="238"/>
      <c r="N59" s="239"/>
      <c r="O59" s="240"/>
      <c r="P59" s="225" t="str">
        <f t="shared" si="5"/>
        <v/>
      </c>
      <c r="Q59" s="172"/>
      <c r="S59" s="181"/>
      <c r="T59" s="156"/>
      <c r="U59" s="89"/>
      <c r="V59" s="141"/>
    </row>
    <row r="60">
      <c r="A60" s="226" t="s">
        <v>48</v>
      </c>
      <c r="B60" s="159" t="s">
        <v>97</v>
      </c>
      <c r="C60" s="178">
        <v>43884.0</v>
      </c>
      <c r="D60" s="179" t="s">
        <v>196</v>
      </c>
      <c r="E60" s="268">
        <v>24.0</v>
      </c>
      <c r="F60" s="163" t="s">
        <v>22</v>
      </c>
      <c r="G60" s="163" t="s">
        <v>24</v>
      </c>
      <c r="H60" s="227"/>
      <c r="I60" s="155"/>
      <c r="J60" s="229" t="s">
        <v>48</v>
      </c>
      <c r="K60" s="230">
        <f t="shared" si="4"/>
        <v>57</v>
      </c>
      <c r="L60" s="237"/>
      <c r="M60" s="238"/>
      <c r="N60" s="239"/>
      <c r="O60" s="240"/>
      <c r="P60" s="225" t="str">
        <f t="shared" si="5"/>
        <v/>
      </c>
      <c r="Q60" s="172"/>
    </row>
    <row r="61">
      <c r="A61" s="226" t="s">
        <v>48</v>
      </c>
      <c r="B61" s="159" t="s">
        <v>75</v>
      </c>
      <c r="C61" s="178">
        <v>43884.0</v>
      </c>
      <c r="D61" s="179" t="s">
        <v>235</v>
      </c>
      <c r="E61" s="268">
        <v>8.0</v>
      </c>
      <c r="F61" s="163" t="s">
        <v>22</v>
      </c>
      <c r="G61" s="163" t="s">
        <v>24</v>
      </c>
      <c r="H61" s="235"/>
      <c r="I61" s="155"/>
      <c r="J61" s="229" t="s">
        <v>48</v>
      </c>
      <c r="K61" s="230">
        <f t="shared" si="4"/>
        <v>58</v>
      </c>
      <c r="L61" s="237"/>
      <c r="M61" s="238"/>
      <c r="N61" s="239"/>
      <c r="O61" s="240"/>
      <c r="P61" s="225" t="str">
        <f t="shared" si="5"/>
        <v/>
      </c>
      <c r="Q61" s="172"/>
    </row>
    <row r="62">
      <c r="A62" s="226" t="s">
        <v>48</v>
      </c>
      <c r="B62" s="159" t="s">
        <v>97</v>
      </c>
      <c r="C62" s="178">
        <v>43884.0</v>
      </c>
      <c r="D62" s="179" t="s">
        <v>196</v>
      </c>
      <c r="E62" s="268">
        <v>10.0</v>
      </c>
      <c r="F62" s="163" t="s">
        <v>22</v>
      </c>
      <c r="G62" s="163" t="s">
        <v>24</v>
      </c>
      <c r="H62" s="227"/>
      <c r="I62" s="155"/>
      <c r="J62" s="229" t="s">
        <v>48</v>
      </c>
      <c r="K62" s="230">
        <f t="shared" si="4"/>
        <v>59</v>
      </c>
      <c r="L62" s="237"/>
      <c r="M62" s="238"/>
      <c r="N62" s="239"/>
      <c r="O62" s="240"/>
      <c r="P62" s="225" t="str">
        <f t="shared" si="5"/>
        <v/>
      </c>
      <c r="Q62" s="172"/>
    </row>
    <row r="63">
      <c r="A63" s="226" t="s">
        <v>48</v>
      </c>
      <c r="B63" s="159" t="s">
        <v>89</v>
      </c>
      <c r="C63" s="178">
        <v>43887.0</v>
      </c>
      <c r="D63" s="179" t="s">
        <v>219</v>
      </c>
      <c r="E63" s="268">
        <v>10.0</v>
      </c>
      <c r="F63" s="163" t="s">
        <v>26</v>
      </c>
      <c r="G63" s="163" t="s">
        <v>27</v>
      </c>
      <c r="H63" s="235"/>
      <c r="I63" s="155"/>
      <c r="J63" s="229" t="s">
        <v>48</v>
      </c>
      <c r="K63" s="230">
        <f t="shared" si="4"/>
        <v>60</v>
      </c>
      <c r="L63" s="237"/>
      <c r="M63" s="238"/>
      <c r="N63" s="239"/>
      <c r="O63" s="240"/>
      <c r="P63" s="225" t="str">
        <f t="shared" si="5"/>
        <v/>
      </c>
      <c r="Q63" s="172"/>
    </row>
    <row r="64">
      <c r="A64" s="226" t="s">
        <v>48</v>
      </c>
      <c r="B64" s="159" t="s">
        <v>105</v>
      </c>
      <c r="C64" s="178">
        <v>43887.0</v>
      </c>
      <c r="D64" s="179" t="s">
        <v>236</v>
      </c>
      <c r="E64" s="268">
        <v>5.95</v>
      </c>
      <c r="F64" s="163" t="s">
        <v>14</v>
      </c>
      <c r="G64" s="163" t="s">
        <v>16</v>
      </c>
      <c r="H64" s="227"/>
      <c r="I64" s="155"/>
      <c r="J64" s="229" t="s">
        <v>48</v>
      </c>
      <c r="K64" s="230">
        <f t="shared" si="4"/>
        <v>61</v>
      </c>
      <c r="L64" s="237"/>
      <c r="M64" s="238"/>
      <c r="N64" s="239"/>
      <c r="O64" s="240"/>
      <c r="P64" s="225" t="str">
        <f t="shared" si="5"/>
        <v/>
      </c>
      <c r="Q64" s="172"/>
    </row>
    <row r="65">
      <c r="A65" s="226" t="s">
        <v>48</v>
      </c>
      <c r="B65" s="159" t="s">
        <v>75</v>
      </c>
      <c r="C65" s="178">
        <v>43888.0</v>
      </c>
      <c r="D65" s="179" t="s">
        <v>237</v>
      </c>
      <c r="E65" s="268">
        <v>12.0</v>
      </c>
      <c r="F65" s="163" t="s">
        <v>22</v>
      </c>
      <c r="G65" s="163" t="s">
        <v>24</v>
      </c>
      <c r="H65" s="235"/>
      <c r="I65" s="155"/>
      <c r="J65" s="229" t="s">
        <v>48</v>
      </c>
      <c r="K65" s="230">
        <f t="shared" si="4"/>
        <v>62</v>
      </c>
      <c r="L65" s="237"/>
      <c r="M65" s="238"/>
      <c r="N65" s="239"/>
      <c r="O65" s="240"/>
      <c r="P65" s="225" t="str">
        <f t="shared" si="5"/>
        <v/>
      </c>
      <c r="Q65" s="172"/>
    </row>
    <row r="66">
      <c r="A66" s="226" t="s">
        <v>48</v>
      </c>
      <c r="B66" s="159" t="s">
        <v>109</v>
      </c>
      <c r="C66" s="178">
        <v>43890.0</v>
      </c>
      <c r="D66" s="179" t="s">
        <v>218</v>
      </c>
      <c r="E66" s="268">
        <v>100.0</v>
      </c>
      <c r="F66" s="163" t="s">
        <v>22</v>
      </c>
      <c r="G66" s="163" t="s">
        <v>24</v>
      </c>
      <c r="H66" s="227"/>
      <c r="I66" s="155"/>
      <c r="J66" s="229" t="s">
        <v>48</v>
      </c>
      <c r="K66" s="230">
        <f t="shared" si="4"/>
        <v>63</v>
      </c>
      <c r="L66" s="237"/>
      <c r="M66" s="238"/>
      <c r="N66" s="239"/>
      <c r="O66" s="240"/>
      <c r="P66" s="225" t="str">
        <f t="shared" si="5"/>
        <v/>
      </c>
      <c r="Q66" s="172"/>
    </row>
    <row r="67">
      <c r="A67" s="226" t="s">
        <v>48</v>
      </c>
      <c r="B67" s="159" t="s">
        <v>107</v>
      </c>
      <c r="C67" s="178">
        <v>43870.0</v>
      </c>
      <c r="D67" s="179" t="s">
        <v>223</v>
      </c>
      <c r="E67" s="268">
        <v>577.8</v>
      </c>
      <c r="F67" s="163" t="s">
        <v>14</v>
      </c>
      <c r="G67" s="163" t="s">
        <v>16</v>
      </c>
      <c r="H67" s="235" t="s">
        <v>17</v>
      </c>
      <c r="I67" s="155"/>
      <c r="J67" s="229" t="s">
        <v>48</v>
      </c>
      <c r="K67" s="230">
        <f t="shared" si="4"/>
        <v>64</v>
      </c>
      <c r="L67" s="237"/>
      <c r="M67" s="238"/>
      <c r="N67" s="239"/>
      <c r="O67" s="240"/>
      <c r="P67" s="225" t="str">
        <f t="shared" si="5"/>
        <v/>
      </c>
      <c r="Q67" s="172"/>
      <c r="S67" s="185"/>
      <c r="V67" s="156"/>
    </row>
    <row r="68">
      <c r="A68" s="226" t="s">
        <v>48</v>
      </c>
      <c r="B68" s="159"/>
      <c r="C68" s="178"/>
      <c r="D68" s="179"/>
      <c r="E68" s="268"/>
      <c r="F68" s="163"/>
      <c r="G68" s="269"/>
      <c r="H68" s="227"/>
      <c r="I68" s="155"/>
      <c r="J68" s="229" t="s">
        <v>48</v>
      </c>
      <c r="K68" s="230">
        <f t="shared" si="4"/>
        <v>65</v>
      </c>
      <c r="L68" s="237"/>
      <c r="M68" s="238"/>
      <c r="N68" s="239"/>
      <c r="O68" s="240"/>
      <c r="P68" s="225" t="str">
        <f t="shared" si="5"/>
        <v/>
      </c>
      <c r="Q68" s="172"/>
      <c r="S68" s="169"/>
      <c r="V68" s="156"/>
    </row>
    <row r="69">
      <c r="A69" s="226" t="s">
        <v>48</v>
      </c>
      <c r="B69" s="159"/>
      <c r="C69" s="178"/>
      <c r="D69" s="179"/>
      <c r="E69" s="268"/>
      <c r="F69" s="163"/>
      <c r="G69" s="163"/>
      <c r="H69" s="235"/>
      <c r="I69" s="155"/>
      <c r="J69" s="229" t="s">
        <v>48</v>
      </c>
      <c r="K69" s="230">
        <f t="shared" si="4"/>
        <v>66</v>
      </c>
      <c r="L69" s="243"/>
      <c r="M69" s="151"/>
      <c r="N69" s="244"/>
      <c r="O69" s="245"/>
      <c r="P69" s="225" t="str">
        <f t="shared" si="5"/>
        <v/>
      </c>
      <c r="Q69" s="172"/>
      <c r="S69" s="192"/>
    </row>
    <row r="70">
      <c r="A70" s="226" t="s">
        <v>48</v>
      </c>
      <c r="B70" s="159"/>
      <c r="C70" s="178"/>
      <c r="D70" s="179"/>
      <c r="E70" s="268"/>
      <c r="F70" s="163"/>
      <c r="G70" s="163"/>
      <c r="H70" s="227"/>
      <c r="I70" s="155"/>
      <c r="J70" s="229" t="s">
        <v>48</v>
      </c>
      <c r="K70" s="230">
        <f t="shared" si="4"/>
        <v>67</v>
      </c>
      <c r="L70" s="243"/>
      <c r="M70" s="151"/>
      <c r="N70" s="244"/>
      <c r="O70" s="245"/>
      <c r="P70" s="225" t="str">
        <f t="shared" si="5"/>
        <v/>
      </c>
      <c r="Q70" s="172"/>
    </row>
    <row r="71">
      <c r="A71" s="226" t="s">
        <v>48</v>
      </c>
      <c r="B71" s="159"/>
      <c r="C71" s="178"/>
      <c r="D71" s="179"/>
      <c r="E71" s="268"/>
      <c r="F71" s="163"/>
      <c r="G71" s="163"/>
      <c r="H71" s="235"/>
      <c r="I71" s="155"/>
      <c r="J71" s="229" t="s">
        <v>48</v>
      </c>
      <c r="K71" s="230">
        <f t="shared" si="4"/>
        <v>68</v>
      </c>
      <c r="L71" s="243"/>
      <c r="M71" s="151"/>
      <c r="N71" s="244"/>
      <c r="O71" s="245"/>
      <c r="P71" s="225" t="str">
        <f t="shared" si="5"/>
        <v/>
      </c>
      <c r="Q71" s="172"/>
      <c r="S71" s="182"/>
    </row>
    <row r="72">
      <c r="A72" s="226" t="s">
        <v>48</v>
      </c>
      <c r="B72" s="159"/>
      <c r="C72" s="178"/>
      <c r="D72" s="179"/>
      <c r="E72" s="268"/>
      <c r="F72" s="163"/>
      <c r="G72" s="163"/>
      <c r="H72" s="227"/>
      <c r="I72" s="155"/>
      <c r="J72" s="229" t="s">
        <v>48</v>
      </c>
      <c r="K72" s="230">
        <f t="shared" si="4"/>
        <v>69</v>
      </c>
      <c r="L72" s="243"/>
      <c r="M72" s="151"/>
      <c r="N72" s="244"/>
      <c r="O72" s="245"/>
      <c r="P72" s="225" t="str">
        <f t="shared" si="5"/>
        <v/>
      </c>
      <c r="Q72" s="172"/>
      <c r="S72" s="182"/>
    </row>
    <row r="73">
      <c r="A73" s="226" t="s">
        <v>48</v>
      </c>
      <c r="B73" s="159"/>
      <c r="C73" s="178"/>
      <c r="D73" s="179"/>
      <c r="E73" s="268"/>
      <c r="F73" s="163"/>
      <c r="G73" s="163"/>
      <c r="H73" s="235"/>
      <c r="I73" s="155"/>
      <c r="J73" s="229" t="s">
        <v>48</v>
      </c>
      <c r="K73" s="230">
        <f t="shared" si="4"/>
        <v>70</v>
      </c>
      <c r="L73" s="243"/>
      <c r="M73" s="151"/>
      <c r="N73" s="244"/>
      <c r="O73" s="245"/>
      <c r="P73" s="225" t="str">
        <f t="shared" si="5"/>
        <v/>
      </c>
      <c r="Q73" s="172"/>
    </row>
    <row r="74">
      <c r="A74" s="226" t="s">
        <v>48</v>
      </c>
      <c r="B74" s="159"/>
      <c r="C74" s="178"/>
      <c r="D74" s="179"/>
      <c r="E74" s="268"/>
      <c r="F74" s="163"/>
      <c r="G74" s="163"/>
      <c r="H74" s="227"/>
      <c r="I74" s="155"/>
      <c r="J74" s="229" t="s">
        <v>48</v>
      </c>
      <c r="K74" s="230">
        <f t="shared" si="4"/>
        <v>71</v>
      </c>
      <c r="L74" s="243"/>
      <c r="M74" s="151"/>
      <c r="N74" s="244"/>
      <c r="O74" s="245"/>
      <c r="P74" s="225" t="str">
        <f t="shared" si="5"/>
        <v/>
      </c>
      <c r="Q74" s="172"/>
      <c r="S74" s="182"/>
    </row>
    <row r="75">
      <c r="A75" s="226" t="s">
        <v>48</v>
      </c>
      <c r="B75" s="159"/>
      <c r="C75" s="178"/>
      <c r="D75" s="179"/>
      <c r="E75" s="268"/>
      <c r="F75" s="163"/>
      <c r="G75" s="163"/>
      <c r="H75" s="235"/>
      <c r="I75" s="155"/>
      <c r="J75" s="229" t="s">
        <v>48</v>
      </c>
      <c r="K75" s="230">
        <f t="shared" si="4"/>
        <v>72</v>
      </c>
      <c r="L75" s="243"/>
      <c r="M75" s="151"/>
      <c r="N75" s="244"/>
      <c r="O75" s="245"/>
      <c r="P75" s="225" t="str">
        <f t="shared" si="5"/>
        <v/>
      </c>
      <c r="Q75" s="173"/>
      <c r="S75" s="182"/>
    </row>
    <row r="76">
      <c r="A76" s="226" t="s">
        <v>48</v>
      </c>
      <c r="B76" s="159"/>
      <c r="C76" s="178"/>
      <c r="D76" s="179"/>
      <c r="E76" s="268"/>
      <c r="F76" s="163"/>
      <c r="G76" s="163"/>
      <c r="H76" s="227"/>
      <c r="I76" s="155"/>
      <c r="J76" s="229" t="s">
        <v>48</v>
      </c>
      <c r="K76" s="230">
        <f t="shared" si="4"/>
        <v>73</v>
      </c>
      <c r="L76" s="243"/>
      <c r="M76" s="163"/>
      <c r="N76" s="223"/>
      <c r="O76" s="224"/>
      <c r="P76" s="225" t="str">
        <f t="shared" si="5"/>
        <v/>
      </c>
      <c r="Q76" s="173"/>
      <c r="S76" s="182"/>
    </row>
    <row r="77">
      <c r="A77" s="226" t="s">
        <v>48</v>
      </c>
      <c r="B77" s="159"/>
      <c r="C77" s="178"/>
      <c r="D77" s="179"/>
      <c r="E77" s="268"/>
      <c r="F77" s="163"/>
      <c r="G77" s="163"/>
      <c r="H77" s="235"/>
      <c r="I77" s="155"/>
      <c r="J77" s="229" t="s">
        <v>48</v>
      </c>
      <c r="K77" s="230">
        <f t="shared" si="4"/>
        <v>74</v>
      </c>
      <c r="L77" s="243"/>
      <c r="M77" s="163"/>
      <c r="N77" s="223"/>
      <c r="O77" s="224"/>
      <c r="P77" s="225" t="str">
        <f t="shared" si="5"/>
        <v/>
      </c>
      <c r="Q77" s="173"/>
      <c r="S77" s="182"/>
    </row>
    <row r="78">
      <c r="A78" s="226" t="s">
        <v>48</v>
      </c>
      <c r="B78" s="159"/>
      <c r="C78" s="178"/>
      <c r="D78" s="179"/>
      <c r="E78" s="268"/>
      <c r="F78" s="163"/>
      <c r="G78" s="163"/>
      <c r="H78" s="227"/>
      <c r="I78" s="155"/>
      <c r="J78" s="229" t="s">
        <v>48</v>
      </c>
      <c r="K78" s="230">
        <f t="shared" si="4"/>
        <v>75</v>
      </c>
      <c r="L78" s="243"/>
      <c r="M78" s="248"/>
      <c r="N78" s="223"/>
      <c r="O78" s="224"/>
      <c r="P78" s="225" t="str">
        <f t="shared" si="5"/>
        <v/>
      </c>
      <c r="Q78" s="173"/>
    </row>
    <row r="79">
      <c r="A79" s="226" t="s">
        <v>48</v>
      </c>
      <c r="B79" s="159"/>
      <c r="C79" s="178"/>
      <c r="D79" s="179"/>
      <c r="E79" s="268"/>
      <c r="F79" s="163"/>
      <c r="G79" s="163"/>
      <c r="H79" s="235"/>
      <c r="I79" s="155"/>
      <c r="J79" s="229" t="s">
        <v>48</v>
      </c>
      <c r="K79" s="230">
        <f t="shared" si="4"/>
        <v>76</v>
      </c>
      <c r="L79" s="243"/>
      <c r="M79" s="248"/>
      <c r="N79" s="223"/>
      <c r="O79" s="224"/>
      <c r="P79" s="225" t="str">
        <f t="shared" si="5"/>
        <v/>
      </c>
      <c r="Q79" s="173"/>
    </row>
    <row r="80">
      <c r="A80" s="226" t="s">
        <v>48</v>
      </c>
      <c r="B80" s="159"/>
      <c r="C80" s="178"/>
      <c r="D80" s="179"/>
      <c r="E80" s="268"/>
      <c r="F80" s="163"/>
      <c r="G80" s="163"/>
      <c r="H80" s="227"/>
      <c r="I80" s="155"/>
      <c r="J80" s="229" t="s">
        <v>48</v>
      </c>
      <c r="K80" s="230">
        <f t="shared" si="4"/>
        <v>77</v>
      </c>
      <c r="L80" s="243"/>
      <c r="M80" s="248"/>
      <c r="N80" s="223"/>
      <c r="O80" s="224"/>
      <c r="P80" s="225" t="str">
        <f t="shared" si="5"/>
        <v/>
      </c>
      <c r="Q80" s="173"/>
    </row>
    <row r="81">
      <c r="A81" s="226" t="s">
        <v>48</v>
      </c>
      <c r="B81" s="159"/>
      <c r="C81" s="178"/>
      <c r="D81" s="179"/>
      <c r="E81" s="268"/>
      <c r="F81" s="163"/>
      <c r="G81" s="163"/>
      <c r="H81" s="235"/>
      <c r="I81" s="155"/>
      <c r="J81" s="229" t="s">
        <v>48</v>
      </c>
      <c r="K81" s="230">
        <f t="shared" si="4"/>
        <v>78</v>
      </c>
      <c r="L81" s="243"/>
      <c r="M81" s="249"/>
      <c r="N81" s="244"/>
      <c r="O81" s="245"/>
      <c r="P81" s="225" t="str">
        <f t="shared" si="5"/>
        <v/>
      </c>
      <c r="Q81" s="173"/>
    </row>
    <row r="82">
      <c r="A82" s="226" t="s">
        <v>48</v>
      </c>
      <c r="B82" s="159"/>
      <c r="C82" s="178"/>
      <c r="D82" s="179"/>
      <c r="E82" s="268"/>
      <c r="F82" s="163"/>
      <c r="G82" s="163"/>
      <c r="H82" s="227"/>
      <c r="I82" s="155"/>
      <c r="J82" s="229" t="s">
        <v>48</v>
      </c>
      <c r="K82" s="230">
        <f t="shared" si="4"/>
        <v>79</v>
      </c>
      <c r="L82" s="243"/>
      <c r="M82" s="249"/>
      <c r="N82" s="244"/>
      <c r="O82" s="245"/>
      <c r="P82" s="225" t="str">
        <f t="shared" si="5"/>
        <v/>
      </c>
      <c r="Q82" s="173"/>
    </row>
    <row r="83">
      <c r="A83" s="226" t="s">
        <v>48</v>
      </c>
      <c r="B83" s="159"/>
      <c r="C83" s="178"/>
      <c r="D83" s="179"/>
      <c r="E83" s="268"/>
      <c r="F83" s="163"/>
      <c r="G83" s="163"/>
      <c r="H83" s="235"/>
      <c r="I83" s="155"/>
      <c r="J83" s="229" t="s">
        <v>48</v>
      </c>
      <c r="K83" s="230">
        <f t="shared" si="4"/>
        <v>80</v>
      </c>
      <c r="L83" s="243"/>
      <c r="M83" s="249"/>
      <c r="N83" s="244"/>
      <c r="O83" s="245"/>
      <c r="P83" s="225" t="str">
        <f t="shared" si="5"/>
        <v/>
      </c>
      <c r="Q83" s="173"/>
    </row>
    <row r="84">
      <c r="A84" s="226" t="s">
        <v>48</v>
      </c>
      <c r="B84" s="159"/>
      <c r="C84" s="178"/>
      <c r="D84" s="179"/>
      <c r="E84" s="268"/>
      <c r="F84" s="163"/>
      <c r="G84" s="163"/>
      <c r="H84" s="227"/>
      <c r="I84" s="155"/>
      <c r="J84" s="229" t="s">
        <v>48</v>
      </c>
      <c r="K84" s="230">
        <f t="shared" si="4"/>
        <v>81</v>
      </c>
      <c r="L84" s="243"/>
      <c r="M84" s="248"/>
      <c r="N84" s="244"/>
      <c r="O84" s="224"/>
      <c r="P84" s="225" t="str">
        <f t="shared" si="5"/>
        <v/>
      </c>
      <c r="Q84" s="173"/>
    </row>
    <row r="85">
      <c r="A85" s="250" t="s">
        <v>48</v>
      </c>
      <c r="B85" s="193"/>
      <c r="C85" s="194"/>
      <c r="D85" s="195"/>
      <c r="E85" s="270"/>
      <c r="F85" s="197"/>
      <c r="G85" s="197"/>
      <c r="H85" s="251"/>
      <c r="I85" s="155"/>
      <c r="J85" s="252" t="s">
        <v>48</v>
      </c>
      <c r="K85" s="271">
        <f t="shared" si="4"/>
        <v>82</v>
      </c>
      <c r="L85" s="253"/>
      <c r="M85" s="254"/>
      <c r="N85" s="255"/>
      <c r="O85" s="256"/>
      <c r="P85" s="257" t="str">
        <f t="shared" si="5"/>
        <v/>
      </c>
      <c r="Q85" s="258"/>
    </row>
    <row r="86">
      <c r="B86" s="198"/>
      <c r="C86" s="199"/>
      <c r="D86" s="200"/>
      <c r="E86" s="272"/>
      <c r="F86" s="141"/>
      <c r="G86" s="141"/>
      <c r="H86" s="155"/>
      <c r="I86" s="155"/>
      <c r="K86" s="259"/>
      <c r="L86" s="155"/>
      <c r="N86" s="177"/>
      <c r="O86" s="273"/>
      <c r="P86" s="177"/>
    </row>
    <row r="87">
      <c r="A87" s="215" t="s">
        <v>49</v>
      </c>
      <c r="B87" s="187" t="s">
        <v>75</v>
      </c>
      <c r="C87" s="188">
        <v>43893.0</v>
      </c>
      <c r="D87" s="189" t="s">
        <v>238</v>
      </c>
      <c r="E87" s="261">
        <v>10.0</v>
      </c>
      <c r="F87" s="153" t="s">
        <v>22</v>
      </c>
      <c r="G87" s="153" t="s">
        <v>24</v>
      </c>
      <c r="H87" s="217"/>
      <c r="I87" s="155"/>
      <c r="J87" s="219" t="s">
        <v>49</v>
      </c>
      <c r="K87" s="262">
        <f>K85+1</f>
        <v>83</v>
      </c>
      <c r="L87" s="263">
        <v>43895.0</v>
      </c>
      <c r="M87" s="264" t="s">
        <v>239</v>
      </c>
      <c r="N87" s="265">
        <v>264.87</v>
      </c>
      <c r="O87" s="266">
        <v>3.0</v>
      </c>
      <c r="P87" s="267">
        <f t="shared" ref="P87:P92" si="6">iferror($N87/$O87,"")</f>
        <v>88.29</v>
      </c>
      <c r="Q87" s="191" t="s">
        <v>14</v>
      </c>
    </row>
    <row r="88">
      <c r="A88" s="226" t="s">
        <v>49</v>
      </c>
      <c r="B88" s="159" t="s">
        <v>75</v>
      </c>
      <c r="C88" s="178">
        <v>43894.0</v>
      </c>
      <c r="D88" s="179" t="s">
        <v>240</v>
      </c>
      <c r="E88" s="268">
        <v>7.0</v>
      </c>
      <c r="F88" s="163" t="s">
        <v>22</v>
      </c>
      <c r="G88" s="163" t="s">
        <v>24</v>
      </c>
      <c r="H88" s="227"/>
      <c r="I88" s="155"/>
      <c r="J88" s="229" t="s">
        <v>49</v>
      </c>
      <c r="K88" s="230">
        <f t="shared" ref="K88:K127" si="7">K87+1</f>
        <v>84</v>
      </c>
      <c r="L88" s="231">
        <v>43900.0</v>
      </c>
      <c r="M88" s="232" t="s">
        <v>241</v>
      </c>
      <c r="N88" s="233">
        <v>57.03</v>
      </c>
      <c r="O88" s="234">
        <v>1.0</v>
      </c>
      <c r="P88" s="225">
        <f t="shared" si="6"/>
        <v>57.03</v>
      </c>
      <c r="Q88" s="172" t="s">
        <v>14</v>
      </c>
    </row>
    <row r="89">
      <c r="A89" s="226" t="s">
        <v>49</v>
      </c>
      <c r="B89" s="159" t="s">
        <v>109</v>
      </c>
      <c r="C89" s="178">
        <v>43896.0</v>
      </c>
      <c r="D89" s="179" t="s">
        <v>242</v>
      </c>
      <c r="E89" s="268">
        <v>8.5</v>
      </c>
      <c r="F89" s="163" t="s">
        <v>26</v>
      </c>
      <c r="G89" s="163" t="s">
        <v>27</v>
      </c>
      <c r="H89" s="235"/>
      <c r="I89" s="155"/>
      <c r="J89" s="229" t="s">
        <v>49</v>
      </c>
      <c r="K89" s="230">
        <f t="shared" si="7"/>
        <v>85</v>
      </c>
      <c r="L89" s="231">
        <v>43901.0</v>
      </c>
      <c r="M89" s="232" t="s">
        <v>243</v>
      </c>
      <c r="N89" s="233">
        <v>10.64</v>
      </c>
      <c r="O89" s="234">
        <v>1.0</v>
      </c>
      <c r="P89" s="225">
        <f t="shared" si="6"/>
        <v>10.64</v>
      </c>
      <c r="Q89" s="172" t="s">
        <v>14</v>
      </c>
    </row>
    <row r="90">
      <c r="A90" s="226" t="s">
        <v>49</v>
      </c>
      <c r="B90" s="159" t="s">
        <v>75</v>
      </c>
      <c r="C90" s="178">
        <v>43895.0</v>
      </c>
      <c r="D90" s="179" t="s">
        <v>237</v>
      </c>
      <c r="E90" s="268">
        <v>11.0</v>
      </c>
      <c r="F90" s="163" t="s">
        <v>14</v>
      </c>
      <c r="G90" s="163" t="s">
        <v>16</v>
      </c>
      <c r="H90" s="227"/>
      <c r="I90" s="155"/>
      <c r="J90" s="229" t="s">
        <v>49</v>
      </c>
      <c r="K90" s="230">
        <f t="shared" si="7"/>
        <v>86</v>
      </c>
      <c r="L90" s="231">
        <v>43902.0</v>
      </c>
      <c r="M90" s="232" t="s">
        <v>199</v>
      </c>
      <c r="N90" s="233">
        <v>15.0</v>
      </c>
      <c r="O90" s="234">
        <v>1.0</v>
      </c>
      <c r="P90" s="225">
        <f t="shared" si="6"/>
        <v>15</v>
      </c>
      <c r="Q90" s="172" t="s">
        <v>14</v>
      </c>
    </row>
    <row r="91">
      <c r="A91" s="226" t="s">
        <v>49</v>
      </c>
      <c r="B91" s="159" t="s">
        <v>89</v>
      </c>
      <c r="C91" s="178">
        <v>43897.0</v>
      </c>
      <c r="D91" s="179" t="s">
        <v>244</v>
      </c>
      <c r="E91" s="268">
        <v>20.5</v>
      </c>
      <c r="F91" s="163" t="s">
        <v>14</v>
      </c>
      <c r="G91" s="163" t="s">
        <v>16</v>
      </c>
      <c r="H91" s="235"/>
      <c r="I91" s="155"/>
      <c r="J91" s="229" t="s">
        <v>49</v>
      </c>
      <c r="K91" s="230">
        <f t="shared" si="7"/>
        <v>87</v>
      </c>
      <c r="L91" s="231">
        <v>43905.0</v>
      </c>
      <c r="M91" s="232" t="s">
        <v>245</v>
      </c>
      <c r="N91" s="233">
        <v>9.73</v>
      </c>
      <c r="O91" s="234">
        <v>1.0</v>
      </c>
      <c r="P91" s="225">
        <f t="shared" si="6"/>
        <v>9.73</v>
      </c>
      <c r="Q91" s="172" t="s">
        <v>14</v>
      </c>
    </row>
    <row r="92">
      <c r="A92" s="226" t="s">
        <v>49</v>
      </c>
      <c r="B92" s="159" t="s">
        <v>75</v>
      </c>
      <c r="C92" s="178">
        <v>43897.0</v>
      </c>
      <c r="D92" s="179" t="s">
        <v>244</v>
      </c>
      <c r="E92" s="268">
        <v>13.0</v>
      </c>
      <c r="F92" s="163" t="s">
        <v>22</v>
      </c>
      <c r="G92" s="163" t="s">
        <v>24</v>
      </c>
      <c r="H92" s="227"/>
      <c r="I92" s="155"/>
      <c r="J92" s="229" t="s">
        <v>49</v>
      </c>
      <c r="K92" s="230">
        <f t="shared" si="7"/>
        <v>88</v>
      </c>
      <c r="L92" s="231">
        <v>43905.0</v>
      </c>
      <c r="M92" s="232" t="s">
        <v>246</v>
      </c>
      <c r="N92" s="233">
        <v>12.51</v>
      </c>
      <c r="O92" s="234">
        <v>1.0</v>
      </c>
      <c r="P92" s="225">
        <f t="shared" si="6"/>
        <v>12.51</v>
      </c>
      <c r="Q92" s="172" t="s">
        <v>14</v>
      </c>
    </row>
    <row r="93">
      <c r="A93" s="226" t="s">
        <v>49</v>
      </c>
      <c r="B93" s="159" t="s">
        <v>109</v>
      </c>
      <c r="C93" s="178">
        <v>43899.0</v>
      </c>
      <c r="D93" s="179" t="s">
        <v>247</v>
      </c>
      <c r="E93" s="268">
        <v>100.0</v>
      </c>
      <c r="F93" s="163" t="s">
        <v>26</v>
      </c>
      <c r="G93" s="163" t="s">
        <v>27</v>
      </c>
      <c r="H93" s="235"/>
      <c r="I93" s="155"/>
      <c r="J93" s="229" t="s">
        <v>49</v>
      </c>
      <c r="K93" s="230">
        <f t="shared" si="7"/>
        <v>89</v>
      </c>
      <c r="L93" s="231"/>
      <c r="M93" s="232"/>
      <c r="N93" s="233"/>
      <c r="O93" s="234"/>
      <c r="P93" s="225"/>
      <c r="Q93" s="172"/>
    </row>
    <row r="94">
      <c r="A94" s="226" t="s">
        <v>49</v>
      </c>
      <c r="B94" s="159" t="s">
        <v>93</v>
      </c>
      <c r="C94" s="178">
        <v>43900.0</v>
      </c>
      <c r="D94" s="179" t="s">
        <v>248</v>
      </c>
      <c r="E94" s="268">
        <v>30.0</v>
      </c>
      <c r="F94" s="163" t="s">
        <v>22</v>
      </c>
      <c r="G94" s="163" t="s">
        <v>24</v>
      </c>
      <c r="H94" s="227"/>
      <c r="I94" s="155"/>
      <c r="J94" s="229" t="s">
        <v>49</v>
      </c>
      <c r="K94" s="274">
        <f t="shared" si="7"/>
        <v>90</v>
      </c>
      <c r="L94" s="237"/>
      <c r="M94" s="238"/>
      <c r="N94" s="239"/>
      <c r="O94" s="240"/>
      <c r="P94" s="225" t="str">
        <f t="shared" ref="P94:P127" si="8">iferror($N94/$O94,"")</f>
        <v/>
      </c>
      <c r="Q94" s="172"/>
    </row>
    <row r="95">
      <c r="A95" s="226" t="s">
        <v>49</v>
      </c>
      <c r="B95" s="159" t="s">
        <v>75</v>
      </c>
      <c r="C95" s="178">
        <v>43900.0</v>
      </c>
      <c r="D95" s="179" t="s">
        <v>238</v>
      </c>
      <c r="E95" s="268">
        <v>2.0</v>
      </c>
      <c r="F95" s="163" t="s">
        <v>22</v>
      </c>
      <c r="G95" s="163" t="s">
        <v>24</v>
      </c>
      <c r="H95" s="235"/>
      <c r="I95" s="155"/>
      <c r="J95" s="229" t="s">
        <v>49</v>
      </c>
      <c r="K95" s="274">
        <f t="shared" si="7"/>
        <v>91</v>
      </c>
      <c r="L95" s="237"/>
      <c r="M95" s="238"/>
      <c r="N95" s="239"/>
      <c r="O95" s="240"/>
      <c r="P95" s="225" t="str">
        <f t="shared" si="8"/>
        <v/>
      </c>
      <c r="Q95" s="172"/>
      <c r="S95" s="185"/>
      <c r="V95" s="156"/>
    </row>
    <row r="96">
      <c r="A96" s="226" t="s">
        <v>49</v>
      </c>
      <c r="B96" s="159" t="s">
        <v>75</v>
      </c>
      <c r="C96" s="178">
        <v>43900.0</v>
      </c>
      <c r="D96" s="179" t="s">
        <v>249</v>
      </c>
      <c r="E96" s="268">
        <v>9.0</v>
      </c>
      <c r="F96" s="163" t="s">
        <v>22</v>
      </c>
      <c r="G96" s="163" t="s">
        <v>24</v>
      </c>
      <c r="H96" s="227"/>
      <c r="I96" s="155"/>
      <c r="J96" s="229" t="s">
        <v>49</v>
      </c>
      <c r="K96" s="274">
        <f t="shared" si="7"/>
        <v>92</v>
      </c>
      <c r="L96" s="237"/>
      <c r="M96" s="238"/>
      <c r="N96" s="239"/>
      <c r="O96" s="240"/>
      <c r="P96" s="225" t="str">
        <f t="shared" si="8"/>
        <v/>
      </c>
      <c r="Q96" s="172"/>
      <c r="S96" s="185"/>
      <c r="V96" s="156"/>
    </row>
    <row r="97">
      <c r="A97" s="226" t="s">
        <v>49</v>
      </c>
      <c r="B97" s="159" t="s">
        <v>75</v>
      </c>
      <c r="C97" s="178">
        <v>43900.0</v>
      </c>
      <c r="D97" s="179" t="s">
        <v>250</v>
      </c>
      <c r="E97" s="268">
        <v>52.25</v>
      </c>
      <c r="F97" s="163" t="s">
        <v>14</v>
      </c>
      <c r="G97" s="163" t="s">
        <v>16</v>
      </c>
      <c r="H97" s="235"/>
      <c r="I97" s="155"/>
      <c r="J97" s="229" t="s">
        <v>49</v>
      </c>
      <c r="K97" s="274">
        <f t="shared" si="7"/>
        <v>93</v>
      </c>
      <c r="L97" s="237"/>
      <c r="M97" s="238"/>
      <c r="N97" s="239"/>
      <c r="O97" s="240"/>
      <c r="P97" s="225" t="str">
        <f t="shared" si="8"/>
        <v/>
      </c>
      <c r="Q97" s="172"/>
      <c r="S97" s="185"/>
      <c r="V97" s="156"/>
    </row>
    <row r="98">
      <c r="A98" s="226" t="s">
        <v>49</v>
      </c>
      <c r="B98" s="159" t="s">
        <v>93</v>
      </c>
      <c r="C98" s="178">
        <v>43902.0</v>
      </c>
      <c r="D98" s="179" t="s">
        <v>197</v>
      </c>
      <c r="E98" s="268">
        <v>8.0</v>
      </c>
      <c r="F98" s="163" t="s">
        <v>22</v>
      </c>
      <c r="G98" s="163" t="s">
        <v>24</v>
      </c>
      <c r="H98" s="227"/>
      <c r="I98" s="155"/>
      <c r="J98" s="229" t="s">
        <v>49</v>
      </c>
      <c r="K98" s="274">
        <f t="shared" si="7"/>
        <v>94</v>
      </c>
      <c r="L98" s="237"/>
      <c r="M98" s="238"/>
      <c r="N98" s="239"/>
      <c r="O98" s="240"/>
      <c r="P98" s="225" t="str">
        <f t="shared" si="8"/>
        <v/>
      </c>
      <c r="Q98" s="172"/>
      <c r="S98" s="185"/>
      <c r="V98" s="156"/>
    </row>
    <row r="99">
      <c r="A99" s="226" t="s">
        <v>49</v>
      </c>
      <c r="B99" s="159" t="s">
        <v>109</v>
      </c>
      <c r="C99" s="178">
        <v>43902.0</v>
      </c>
      <c r="D99" s="179" t="s">
        <v>251</v>
      </c>
      <c r="E99" s="268">
        <v>23.35</v>
      </c>
      <c r="F99" s="163" t="s">
        <v>26</v>
      </c>
      <c r="G99" s="163" t="s">
        <v>27</v>
      </c>
      <c r="H99" s="235"/>
      <c r="I99" s="155"/>
      <c r="J99" s="229" t="s">
        <v>49</v>
      </c>
      <c r="K99" s="274">
        <f t="shared" si="7"/>
        <v>95</v>
      </c>
      <c r="L99" s="237"/>
      <c r="M99" s="238"/>
      <c r="N99" s="239"/>
      <c r="O99" s="240"/>
      <c r="P99" s="225" t="str">
        <f t="shared" si="8"/>
        <v/>
      </c>
      <c r="Q99" s="172"/>
      <c r="S99" s="185"/>
      <c r="V99" s="156"/>
    </row>
    <row r="100">
      <c r="A100" s="226" t="s">
        <v>49</v>
      </c>
      <c r="B100" s="159" t="s">
        <v>93</v>
      </c>
      <c r="C100" s="178">
        <v>43902.0</v>
      </c>
      <c r="D100" s="179" t="s">
        <v>252</v>
      </c>
      <c r="E100" s="268">
        <v>376.0</v>
      </c>
      <c r="F100" s="163" t="s">
        <v>26</v>
      </c>
      <c r="G100" s="163" t="s">
        <v>27</v>
      </c>
      <c r="H100" s="227"/>
      <c r="I100" s="155"/>
      <c r="J100" s="229" t="s">
        <v>49</v>
      </c>
      <c r="K100" s="274">
        <f t="shared" si="7"/>
        <v>96</v>
      </c>
      <c r="L100" s="237"/>
      <c r="M100" s="238"/>
      <c r="N100" s="239"/>
      <c r="O100" s="240"/>
      <c r="P100" s="225" t="str">
        <f t="shared" si="8"/>
        <v/>
      </c>
      <c r="Q100" s="172"/>
      <c r="S100" s="185"/>
      <c r="V100" s="156"/>
    </row>
    <row r="101">
      <c r="A101" s="226" t="s">
        <v>49</v>
      </c>
      <c r="B101" s="159" t="s">
        <v>109</v>
      </c>
      <c r="C101" s="178">
        <v>43904.0</v>
      </c>
      <c r="D101" s="179" t="s">
        <v>253</v>
      </c>
      <c r="E101" s="268">
        <v>100.0</v>
      </c>
      <c r="F101" s="163" t="s">
        <v>22</v>
      </c>
      <c r="G101" s="163" t="s">
        <v>24</v>
      </c>
      <c r="H101" s="235"/>
      <c r="I101" s="155"/>
      <c r="J101" s="229" t="s">
        <v>49</v>
      </c>
      <c r="K101" s="274">
        <f t="shared" si="7"/>
        <v>97</v>
      </c>
      <c r="L101" s="237"/>
      <c r="M101" s="238"/>
      <c r="N101" s="239"/>
      <c r="O101" s="240"/>
      <c r="P101" s="225" t="str">
        <f t="shared" si="8"/>
        <v/>
      </c>
      <c r="Q101" s="172"/>
      <c r="S101" s="185"/>
      <c r="V101" s="156"/>
    </row>
    <row r="102">
      <c r="A102" s="226" t="s">
        <v>49</v>
      </c>
      <c r="B102" s="159" t="s">
        <v>75</v>
      </c>
      <c r="C102" s="178">
        <v>43906.0</v>
      </c>
      <c r="D102" s="179" t="s">
        <v>237</v>
      </c>
      <c r="E102" s="268">
        <v>11.0</v>
      </c>
      <c r="F102" s="163" t="s">
        <v>22</v>
      </c>
      <c r="G102" s="163" t="s">
        <v>24</v>
      </c>
      <c r="H102" s="227"/>
      <c r="I102" s="155"/>
      <c r="J102" s="229" t="s">
        <v>49</v>
      </c>
      <c r="K102" s="274">
        <f t="shared" si="7"/>
        <v>98</v>
      </c>
      <c r="L102" s="237"/>
      <c r="M102" s="238"/>
      <c r="N102" s="239"/>
      <c r="O102" s="240"/>
      <c r="P102" s="225" t="str">
        <f t="shared" si="8"/>
        <v/>
      </c>
      <c r="Q102" s="172"/>
      <c r="S102" s="169"/>
      <c r="V102" s="156"/>
    </row>
    <row r="103">
      <c r="A103" s="226" t="s">
        <v>49</v>
      </c>
      <c r="B103" s="159" t="s">
        <v>75</v>
      </c>
      <c r="C103" s="178">
        <v>43907.0</v>
      </c>
      <c r="D103" s="179" t="s">
        <v>254</v>
      </c>
      <c r="E103" s="268">
        <v>12.82</v>
      </c>
      <c r="F103" s="163" t="s">
        <v>14</v>
      </c>
      <c r="G103" s="163" t="s">
        <v>16</v>
      </c>
      <c r="H103" s="235"/>
      <c r="I103" s="155"/>
      <c r="J103" s="229" t="s">
        <v>49</v>
      </c>
      <c r="K103" s="274">
        <f t="shared" si="7"/>
        <v>99</v>
      </c>
      <c r="L103" s="237"/>
      <c r="M103" s="238"/>
      <c r="N103" s="239"/>
      <c r="O103" s="240"/>
      <c r="P103" s="225" t="str">
        <f t="shared" si="8"/>
        <v/>
      </c>
      <c r="Q103" s="172"/>
      <c r="S103" s="192"/>
    </row>
    <row r="104">
      <c r="A104" s="226" t="s">
        <v>49</v>
      </c>
      <c r="B104" s="159" t="s">
        <v>75</v>
      </c>
      <c r="C104" s="178">
        <v>43907.0</v>
      </c>
      <c r="D104" s="179" t="s">
        <v>255</v>
      </c>
      <c r="E104" s="268">
        <v>13.0</v>
      </c>
      <c r="F104" s="163" t="s">
        <v>14</v>
      </c>
      <c r="G104" s="163" t="s">
        <v>16</v>
      </c>
      <c r="H104" s="227"/>
      <c r="I104" s="155"/>
      <c r="J104" s="229" t="s">
        <v>49</v>
      </c>
      <c r="K104" s="274">
        <f t="shared" si="7"/>
        <v>100</v>
      </c>
      <c r="L104" s="237"/>
      <c r="M104" s="238"/>
      <c r="N104" s="239"/>
      <c r="O104" s="240"/>
      <c r="P104" s="225" t="str">
        <f t="shared" si="8"/>
        <v/>
      </c>
      <c r="Q104" s="172"/>
      <c r="S104" s="182"/>
    </row>
    <row r="105">
      <c r="A105" s="226" t="s">
        <v>49</v>
      </c>
      <c r="B105" s="159" t="s">
        <v>109</v>
      </c>
      <c r="C105" s="178">
        <v>43920.0</v>
      </c>
      <c r="D105" s="179" t="s">
        <v>218</v>
      </c>
      <c r="E105" s="268">
        <v>100.0</v>
      </c>
      <c r="F105" s="163" t="s">
        <v>26</v>
      </c>
      <c r="G105" s="163" t="s">
        <v>27</v>
      </c>
      <c r="H105" s="235"/>
      <c r="I105" s="155"/>
      <c r="J105" s="229" t="s">
        <v>49</v>
      </c>
      <c r="K105" s="274">
        <f t="shared" si="7"/>
        <v>101</v>
      </c>
      <c r="L105" s="237"/>
      <c r="M105" s="238"/>
      <c r="N105" s="239"/>
      <c r="O105" s="240"/>
      <c r="P105" s="225" t="str">
        <f t="shared" si="8"/>
        <v/>
      </c>
      <c r="Q105" s="172"/>
      <c r="S105" s="182"/>
    </row>
    <row r="106">
      <c r="A106" s="226" t="s">
        <v>49</v>
      </c>
      <c r="B106" s="159" t="s">
        <v>107</v>
      </c>
      <c r="C106" s="178">
        <v>43900.0</v>
      </c>
      <c r="D106" s="179" t="s">
        <v>256</v>
      </c>
      <c r="E106" s="268">
        <v>561.0</v>
      </c>
      <c r="F106" s="163" t="s">
        <v>14</v>
      </c>
      <c r="G106" s="163" t="s">
        <v>16</v>
      </c>
      <c r="H106" s="247" t="s">
        <v>17</v>
      </c>
      <c r="I106" s="155"/>
      <c r="J106" s="229" t="s">
        <v>49</v>
      </c>
      <c r="K106" s="274">
        <f t="shared" si="7"/>
        <v>102</v>
      </c>
      <c r="L106" s="237"/>
      <c r="M106" s="238"/>
      <c r="N106" s="239"/>
      <c r="O106" s="240"/>
      <c r="P106" s="225" t="str">
        <f t="shared" si="8"/>
        <v/>
      </c>
      <c r="Q106" s="172"/>
      <c r="S106" s="182"/>
    </row>
    <row r="107">
      <c r="A107" s="226" t="s">
        <v>49</v>
      </c>
      <c r="B107" s="159"/>
      <c r="C107" s="178"/>
      <c r="D107" s="179"/>
      <c r="E107" s="275"/>
      <c r="F107" s="276"/>
      <c r="G107" s="277"/>
      <c r="H107" s="235"/>
      <c r="I107" s="155"/>
      <c r="J107" s="229" t="s">
        <v>49</v>
      </c>
      <c r="K107" s="274">
        <f t="shared" si="7"/>
        <v>103</v>
      </c>
      <c r="L107" s="237"/>
      <c r="M107" s="238"/>
      <c r="N107" s="239"/>
      <c r="O107" s="240"/>
      <c r="P107" s="225" t="str">
        <f t="shared" si="8"/>
        <v/>
      </c>
      <c r="Q107" s="172"/>
      <c r="S107" s="182"/>
    </row>
    <row r="108">
      <c r="A108" s="226" t="s">
        <v>49</v>
      </c>
      <c r="B108" s="159"/>
      <c r="C108" s="178"/>
      <c r="D108" s="179"/>
      <c r="E108" s="268"/>
      <c r="F108" s="163"/>
      <c r="G108" s="269"/>
      <c r="H108" s="227"/>
      <c r="I108" s="155"/>
      <c r="J108" s="229" t="s">
        <v>49</v>
      </c>
      <c r="K108" s="274">
        <f t="shared" si="7"/>
        <v>104</v>
      </c>
      <c r="L108" s="237"/>
      <c r="M108" s="238"/>
      <c r="N108" s="239"/>
      <c r="O108" s="240"/>
      <c r="P108" s="225" t="str">
        <f t="shared" si="8"/>
        <v/>
      </c>
      <c r="Q108" s="172"/>
    </row>
    <row r="109">
      <c r="A109" s="226" t="s">
        <v>49</v>
      </c>
      <c r="B109" s="159"/>
      <c r="C109" s="178"/>
      <c r="D109" s="179"/>
      <c r="E109" s="268"/>
      <c r="F109" s="163"/>
      <c r="G109" s="269"/>
      <c r="H109" s="235"/>
      <c r="I109" s="155"/>
      <c r="J109" s="229" t="s">
        <v>49</v>
      </c>
      <c r="K109" s="274">
        <f t="shared" si="7"/>
        <v>105</v>
      </c>
      <c r="L109" s="237"/>
      <c r="M109" s="238"/>
      <c r="N109" s="239"/>
      <c r="O109" s="240"/>
      <c r="P109" s="225" t="str">
        <f t="shared" si="8"/>
        <v/>
      </c>
      <c r="Q109" s="172"/>
      <c r="S109" s="182"/>
    </row>
    <row r="110">
      <c r="A110" s="226" t="s">
        <v>49</v>
      </c>
      <c r="B110" s="159"/>
      <c r="C110" s="178"/>
      <c r="D110" s="179"/>
      <c r="E110" s="268"/>
      <c r="F110" s="163"/>
      <c r="G110" s="269"/>
      <c r="H110" s="227"/>
      <c r="I110" s="155"/>
      <c r="J110" s="229" t="s">
        <v>49</v>
      </c>
      <c r="K110" s="274">
        <f t="shared" si="7"/>
        <v>106</v>
      </c>
      <c r="L110" s="237"/>
      <c r="M110" s="238"/>
      <c r="N110" s="239"/>
      <c r="O110" s="240"/>
      <c r="P110" s="225" t="str">
        <f t="shared" si="8"/>
        <v/>
      </c>
      <c r="Q110" s="172"/>
      <c r="S110" s="182"/>
    </row>
    <row r="111">
      <c r="A111" s="226" t="s">
        <v>49</v>
      </c>
      <c r="B111" s="159"/>
      <c r="C111" s="178"/>
      <c r="D111" s="179"/>
      <c r="E111" s="268"/>
      <c r="F111" s="163"/>
      <c r="G111" s="163"/>
      <c r="H111" s="235"/>
      <c r="I111" s="155"/>
      <c r="J111" s="229" t="s">
        <v>49</v>
      </c>
      <c r="K111" s="278">
        <f t="shared" si="7"/>
        <v>107</v>
      </c>
      <c r="L111" s="243"/>
      <c r="M111" s="151"/>
      <c r="N111" s="244"/>
      <c r="O111" s="245"/>
      <c r="P111" s="225" t="str">
        <f t="shared" si="8"/>
        <v/>
      </c>
      <c r="Q111" s="172"/>
      <c r="S111" s="182"/>
    </row>
    <row r="112">
      <c r="A112" s="226" t="s">
        <v>49</v>
      </c>
      <c r="B112" s="159"/>
      <c r="C112" s="178"/>
      <c r="D112" s="179"/>
      <c r="E112" s="268"/>
      <c r="F112" s="163"/>
      <c r="G112" s="163"/>
      <c r="H112" s="227"/>
      <c r="I112" s="155"/>
      <c r="J112" s="229" t="s">
        <v>49</v>
      </c>
      <c r="K112" s="278">
        <f t="shared" si="7"/>
        <v>108</v>
      </c>
      <c r="L112" s="243"/>
      <c r="M112" s="151"/>
      <c r="N112" s="244"/>
      <c r="O112" s="245"/>
      <c r="P112" s="225" t="str">
        <f t="shared" si="8"/>
        <v/>
      </c>
      <c r="Q112" s="172"/>
      <c r="S112" s="182"/>
    </row>
    <row r="113">
      <c r="A113" s="226" t="s">
        <v>49</v>
      </c>
      <c r="B113" s="159"/>
      <c r="C113" s="178"/>
      <c r="D113" s="179"/>
      <c r="E113" s="268"/>
      <c r="F113" s="163"/>
      <c r="G113" s="163"/>
      <c r="H113" s="235"/>
      <c r="I113" s="155"/>
      <c r="J113" s="229" t="s">
        <v>49</v>
      </c>
      <c r="K113" s="278">
        <f t="shared" si="7"/>
        <v>109</v>
      </c>
      <c r="L113" s="243"/>
      <c r="M113" s="151"/>
      <c r="N113" s="244"/>
      <c r="O113" s="245"/>
      <c r="P113" s="225" t="str">
        <f t="shared" si="8"/>
        <v/>
      </c>
      <c r="Q113" s="172"/>
    </row>
    <row r="114">
      <c r="A114" s="226" t="s">
        <v>49</v>
      </c>
      <c r="B114" s="159"/>
      <c r="C114" s="178"/>
      <c r="D114" s="179"/>
      <c r="E114" s="268"/>
      <c r="F114" s="163"/>
      <c r="G114" s="163"/>
      <c r="H114" s="227"/>
      <c r="I114" s="155"/>
      <c r="J114" s="229" t="s">
        <v>49</v>
      </c>
      <c r="K114" s="278">
        <f t="shared" si="7"/>
        <v>110</v>
      </c>
      <c r="L114" s="243"/>
      <c r="M114" s="151"/>
      <c r="N114" s="244"/>
      <c r="O114" s="245"/>
      <c r="P114" s="225" t="str">
        <f t="shared" si="8"/>
        <v/>
      </c>
      <c r="Q114" s="172"/>
      <c r="S114" s="182"/>
    </row>
    <row r="115">
      <c r="A115" s="226" t="s">
        <v>49</v>
      </c>
      <c r="B115" s="159"/>
      <c r="C115" s="178"/>
      <c r="D115" s="179"/>
      <c r="E115" s="268"/>
      <c r="F115" s="163"/>
      <c r="G115" s="163"/>
      <c r="H115" s="235"/>
      <c r="I115" s="155"/>
      <c r="J115" s="229" t="s">
        <v>49</v>
      </c>
      <c r="K115" s="278">
        <f t="shared" si="7"/>
        <v>111</v>
      </c>
      <c r="L115" s="243"/>
      <c r="M115" s="151"/>
      <c r="N115" s="244"/>
      <c r="O115" s="245"/>
      <c r="P115" s="225" t="str">
        <f t="shared" si="8"/>
        <v/>
      </c>
      <c r="Q115" s="172"/>
    </row>
    <row r="116">
      <c r="A116" s="226" t="s">
        <v>49</v>
      </c>
      <c r="B116" s="159"/>
      <c r="C116" s="178"/>
      <c r="D116" s="179"/>
      <c r="E116" s="268"/>
      <c r="F116" s="163"/>
      <c r="G116" s="163"/>
      <c r="H116" s="227"/>
      <c r="I116" s="155"/>
      <c r="J116" s="229" t="s">
        <v>49</v>
      </c>
      <c r="K116" s="278">
        <f t="shared" si="7"/>
        <v>112</v>
      </c>
      <c r="L116" s="243"/>
      <c r="M116" s="151"/>
      <c r="N116" s="244"/>
      <c r="O116" s="245"/>
      <c r="P116" s="225" t="str">
        <f t="shared" si="8"/>
        <v/>
      </c>
      <c r="Q116" s="172"/>
    </row>
    <row r="117">
      <c r="A117" s="226" t="s">
        <v>49</v>
      </c>
      <c r="B117" s="159"/>
      <c r="C117" s="178"/>
      <c r="D117" s="179"/>
      <c r="E117" s="268"/>
      <c r="F117" s="163"/>
      <c r="G117" s="163"/>
      <c r="H117" s="235"/>
      <c r="I117" s="155"/>
      <c r="J117" s="229" t="s">
        <v>49</v>
      </c>
      <c r="K117" s="278">
        <f t="shared" si="7"/>
        <v>113</v>
      </c>
      <c r="L117" s="243"/>
      <c r="M117" s="151"/>
      <c r="N117" s="244"/>
      <c r="O117" s="245"/>
      <c r="P117" s="225" t="str">
        <f t="shared" si="8"/>
        <v/>
      </c>
      <c r="Q117" s="173"/>
    </row>
    <row r="118">
      <c r="A118" s="226" t="s">
        <v>49</v>
      </c>
      <c r="B118" s="159"/>
      <c r="C118" s="178"/>
      <c r="D118" s="179"/>
      <c r="E118" s="268"/>
      <c r="F118" s="163"/>
      <c r="G118" s="163"/>
      <c r="H118" s="227"/>
      <c r="I118" s="155"/>
      <c r="J118" s="229" t="s">
        <v>49</v>
      </c>
      <c r="K118" s="278">
        <f t="shared" si="7"/>
        <v>114</v>
      </c>
      <c r="L118" s="243"/>
      <c r="M118" s="163"/>
      <c r="N118" s="223"/>
      <c r="O118" s="224"/>
      <c r="P118" s="225" t="str">
        <f t="shared" si="8"/>
        <v/>
      </c>
      <c r="Q118" s="173"/>
    </row>
    <row r="119">
      <c r="A119" s="226" t="s">
        <v>49</v>
      </c>
      <c r="B119" s="159"/>
      <c r="C119" s="178"/>
      <c r="D119" s="179"/>
      <c r="E119" s="268"/>
      <c r="F119" s="163"/>
      <c r="G119" s="163"/>
      <c r="H119" s="235"/>
      <c r="I119" s="155"/>
      <c r="J119" s="229" t="s">
        <v>49</v>
      </c>
      <c r="K119" s="278">
        <f t="shared" si="7"/>
        <v>115</v>
      </c>
      <c r="L119" s="243"/>
      <c r="M119" s="163"/>
      <c r="N119" s="223"/>
      <c r="O119" s="224"/>
      <c r="P119" s="225" t="str">
        <f t="shared" si="8"/>
        <v/>
      </c>
      <c r="Q119" s="173"/>
    </row>
    <row r="120">
      <c r="A120" s="226" t="s">
        <v>49</v>
      </c>
      <c r="B120" s="159"/>
      <c r="C120" s="178"/>
      <c r="D120" s="179"/>
      <c r="E120" s="268"/>
      <c r="F120" s="163"/>
      <c r="G120" s="163"/>
      <c r="H120" s="227"/>
      <c r="I120" s="155"/>
      <c r="J120" s="229" t="s">
        <v>49</v>
      </c>
      <c r="K120" s="278">
        <f t="shared" si="7"/>
        <v>116</v>
      </c>
      <c r="L120" s="243"/>
      <c r="M120" s="248"/>
      <c r="N120" s="223"/>
      <c r="O120" s="224"/>
      <c r="P120" s="225" t="str">
        <f t="shared" si="8"/>
        <v/>
      </c>
      <c r="Q120" s="173"/>
    </row>
    <row r="121">
      <c r="A121" s="226" t="s">
        <v>49</v>
      </c>
      <c r="B121" s="159"/>
      <c r="C121" s="178"/>
      <c r="D121" s="179"/>
      <c r="E121" s="268"/>
      <c r="F121" s="163"/>
      <c r="G121" s="163"/>
      <c r="H121" s="235"/>
      <c r="I121" s="155"/>
      <c r="J121" s="229" t="s">
        <v>49</v>
      </c>
      <c r="K121" s="278">
        <f t="shared" si="7"/>
        <v>117</v>
      </c>
      <c r="L121" s="243"/>
      <c r="M121" s="248"/>
      <c r="N121" s="223"/>
      <c r="O121" s="224"/>
      <c r="P121" s="225" t="str">
        <f t="shared" si="8"/>
        <v/>
      </c>
      <c r="Q121" s="173"/>
    </row>
    <row r="122">
      <c r="A122" s="226" t="s">
        <v>49</v>
      </c>
      <c r="B122" s="159"/>
      <c r="C122" s="178"/>
      <c r="D122" s="179"/>
      <c r="E122" s="268"/>
      <c r="F122" s="163"/>
      <c r="G122" s="163"/>
      <c r="H122" s="227"/>
      <c r="I122" s="155"/>
      <c r="J122" s="229" t="s">
        <v>49</v>
      </c>
      <c r="K122" s="278">
        <f t="shared" si="7"/>
        <v>118</v>
      </c>
      <c r="L122" s="243"/>
      <c r="M122" s="248"/>
      <c r="N122" s="223"/>
      <c r="O122" s="224"/>
      <c r="P122" s="225" t="str">
        <f t="shared" si="8"/>
        <v/>
      </c>
      <c r="Q122" s="173"/>
    </row>
    <row r="123">
      <c r="A123" s="226" t="s">
        <v>49</v>
      </c>
      <c r="B123" s="159"/>
      <c r="C123" s="178"/>
      <c r="D123" s="179"/>
      <c r="E123" s="268"/>
      <c r="F123" s="163"/>
      <c r="G123" s="163"/>
      <c r="H123" s="235"/>
      <c r="I123" s="155"/>
      <c r="J123" s="229" t="s">
        <v>49</v>
      </c>
      <c r="K123" s="278">
        <f t="shared" si="7"/>
        <v>119</v>
      </c>
      <c r="L123" s="243"/>
      <c r="M123" s="249"/>
      <c r="N123" s="244"/>
      <c r="O123" s="245"/>
      <c r="P123" s="225" t="str">
        <f t="shared" si="8"/>
        <v/>
      </c>
      <c r="Q123" s="173"/>
    </row>
    <row r="124">
      <c r="A124" s="226" t="s">
        <v>49</v>
      </c>
      <c r="B124" s="159"/>
      <c r="C124" s="178"/>
      <c r="D124" s="179"/>
      <c r="E124" s="268"/>
      <c r="F124" s="163"/>
      <c r="G124" s="163"/>
      <c r="H124" s="227"/>
      <c r="I124" s="155"/>
      <c r="J124" s="229" t="s">
        <v>49</v>
      </c>
      <c r="K124" s="278">
        <f t="shared" si="7"/>
        <v>120</v>
      </c>
      <c r="L124" s="243"/>
      <c r="M124" s="249"/>
      <c r="N124" s="244"/>
      <c r="O124" s="245"/>
      <c r="P124" s="225" t="str">
        <f t="shared" si="8"/>
        <v/>
      </c>
      <c r="Q124" s="173"/>
    </row>
    <row r="125">
      <c r="A125" s="226" t="s">
        <v>49</v>
      </c>
      <c r="B125" s="159"/>
      <c r="C125" s="178"/>
      <c r="D125" s="179"/>
      <c r="E125" s="268"/>
      <c r="F125" s="163"/>
      <c r="G125" s="163"/>
      <c r="H125" s="235"/>
      <c r="I125" s="155"/>
      <c r="J125" s="229" t="s">
        <v>49</v>
      </c>
      <c r="K125" s="278">
        <f t="shared" si="7"/>
        <v>121</v>
      </c>
      <c r="L125" s="243"/>
      <c r="M125" s="249"/>
      <c r="N125" s="244"/>
      <c r="O125" s="245"/>
      <c r="P125" s="225" t="str">
        <f t="shared" si="8"/>
        <v/>
      </c>
      <c r="Q125" s="173"/>
    </row>
    <row r="126">
      <c r="A126" s="226" t="s">
        <v>49</v>
      </c>
      <c r="B126" s="159"/>
      <c r="C126" s="178"/>
      <c r="D126" s="179"/>
      <c r="E126" s="268"/>
      <c r="F126" s="163"/>
      <c r="G126" s="163"/>
      <c r="H126" s="227"/>
      <c r="I126" s="155"/>
      <c r="J126" s="229" t="s">
        <v>49</v>
      </c>
      <c r="K126" s="278">
        <f t="shared" si="7"/>
        <v>122</v>
      </c>
      <c r="L126" s="243"/>
      <c r="M126" s="248"/>
      <c r="N126" s="244"/>
      <c r="O126" s="224"/>
      <c r="P126" s="225" t="str">
        <f t="shared" si="8"/>
        <v/>
      </c>
      <c r="Q126" s="173"/>
    </row>
    <row r="127">
      <c r="A127" s="250" t="s">
        <v>49</v>
      </c>
      <c r="B127" s="193"/>
      <c r="C127" s="194"/>
      <c r="D127" s="195"/>
      <c r="E127" s="270"/>
      <c r="F127" s="197"/>
      <c r="G127" s="197"/>
      <c r="H127" s="251"/>
      <c r="I127" s="155"/>
      <c r="J127" s="252" t="s">
        <v>49</v>
      </c>
      <c r="K127" s="279">
        <f t="shared" si="7"/>
        <v>123</v>
      </c>
      <c r="L127" s="253"/>
      <c r="M127" s="254"/>
      <c r="N127" s="255"/>
      <c r="O127" s="256"/>
      <c r="P127" s="225" t="str">
        <f t="shared" si="8"/>
        <v/>
      </c>
      <c r="Q127" s="258"/>
    </row>
    <row r="128">
      <c r="B128" s="198"/>
      <c r="C128" s="199"/>
      <c r="D128" s="200"/>
      <c r="E128" s="272"/>
      <c r="F128" s="141"/>
      <c r="G128" s="141"/>
      <c r="H128" s="155"/>
      <c r="I128" s="155"/>
      <c r="K128" s="259"/>
      <c r="L128" s="155"/>
      <c r="N128" s="177"/>
      <c r="O128" s="273"/>
      <c r="P128" s="280"/>
    </row>
    <row r="129">
      <c r="A129" s="215" t="s">
        <v>50</v>
      </c>
      <c r="B129" s="187" t="s">
        <v>109</v>
      </c>
      <c r="C129" s="188">
        <v>43922.0</v>
      </c>
      <c r="D129" s="189" t="s">
        <v>218</v>
      </c>
      <c r="E129" s="261">
        <v>100.0</v>
      </c>
      <c r="F129" s="153" t="s">
        <v>22</v>
      </c>
      <c r="G129" s="153" t="s">
        <v>24</v>
      </c>
      <c r="H129" s="217"/>
      <c r="I129" s="155"/>
      <c r="J129" s="219" t="s">
        <v>50</v>
      </c>
      <c r="K129" s="262">
        <f>K127+1</f>
        <v>124</v>
      </c>
      <c r="L129" s="263">
        <v>43929.0</v>
      </c>
      <c r="M129" s="264" t="s">
        <v>257</v>
      </c>
      <c r="N129" s="265">
        <v>19.9</v>
      </c>
      <c r="O129" s="266">
        <v>1.0</v>
      </c>
      <c r="P129" s="225">
        <f>iferror($N129/$O129,"")</f>
        <v>19.9</v>
      </c>
      <c r="Q129" s="191" t="s">
        <v>14</v>
      </c>
    </row>
    <row r="130">
      <c r="A130" s="226" t="s">
        <v>50</v>
      </c>
      <c r="B130" s="159" t="s">
        <v>109</v>
      </c>
      <c r="C130" s="178">
        <v>43922.0</v>
      </c>
      <c r="D130" s="179" t="s">
        <v>258</v>
      </c>
      <c r="E130" s="268">
        <v>0.09</v>
      </c>
      <c r="F130" s="163" t="s">
        <v>26</v>
      </c>
      <c r="G130" s="163" t="s">
        <v>27</v>
      </c>
      <c r="H130" s="227"/>
      <c r="I130" s="155"/>
      <c r="J130" s="229" t="s">
        <v>50</v>
      </c>
      <c r="K130" s="230">
        <f t="shared" ref="K130:K169" si="9">K129+1</f>
        <v>125</v>
      </c>
      <c r="L130" s="231"/>
      <c r="M130" s="232"/>
      <c r="N130" s="233"/>
      <c r="O130" s="234"/>
      <c r="P130" s="225"/>
      <c r="Q130" s="172"/>
    </row>
    <row r="131">
      <c r="A131" s="226" t="s">
        <v>50</v>
      </c>
      <c r="B131" s="159" t="s">
        <v>109</v>
      </c>
      <c r="C131" s="178">
        <v>43931.0</v>
      </c>
      <c r="D131" s="179" t="s">
        <v>259</v>
      </c>
      <c r="E131" s="268">
        <v>0.06</v>
      </c>
      <c r="F131" s="163" t="s">
        <v>26</v>
      </c>
      <c r="G131" s="163" t="s">
        <v>27</v>
      </c>
      <c r="H131" s="235"/>
      <c r="I131" s="155"/>
      <c r="J131" s="229" t="s">
        <v>50</v>
      </c>
      <c r="K131" s="230">
        <f t="shared" si="9"/>
        <v>126</v>
      </c>
      <c r="L131" s="231">
        <v>43939.0</v>
      </c>
      <c r="M131" s="232" t="s">
        <v>260</v>
      </c>
      <c r="N131" s="233">
        <v>16.42</v>
      </c>
      <c r="O131" s="234">
        <v>1.0</v>
      </c>
      <c r="P131" s="225">
        <f t="shared" ref="P131:P134" si="10">iferror($N131/$O131,"")</f>
        <v>16.42</v>
      </c>
      <c r="Q131" s="172" t="s">
        <v>14</v>
      </c>
    </row>
    <row r="132">
      <c r="A132" s="226" t="s">
        <v>50</v>
      </c>
      <c r="B132" s="159" t="s">
        <v>105</v>
      </c>
      <c r="C132" s="178">
        <v>43940.0</v>
      </c>
      <c r="D132" s="179" t="s">
        <v>198</v>
      </c>
      <c r="E132" s="268">
        <v>8.0</v>
      </c>
      <c r="F132" s="163" t="s">
        <v>22</v>
      </c>
      <c r="G132" s="163" t="s">
        <v>24</v>
      </c>
      <c r="H132" s="227"/>
      <c r="I132" s="155"/>
      <c r="J132" s="229" t="s">
        <v>50</v>
      </c>
      <c r="K132" s="230">
        <f t="shared" si="9"/>
        <v>127</v>
      </c>
      <c r="L132" s="231">
        <v>43939.0</v>
      </c>
      <c r="M132" s="232">
        <v>99.0</v>
      </c>
      <c r="N132" s="233">
        <v>13.2</v>
      </c>
      <c r="O132" s="234">
        <v>1.0</v>
      </c>
      <c r="P132" s="225">
        <f t="shared" si="10"/>
        <v>13.2</v>
      </c>
      <c r="Q132" s="172" t="s">
        <v>14</v>
      </c>
    </row>
    <row r="133">
      <c r="A133" s="226" t="s">
        <v>50</v>
      </c>
      <c r="B133" s="159" t="s">
        <v>75</v>
      </c>
      <c r="C133" s="178">
        <v>43943.0</v>
      </c>
      <c r="D133" s="179" t="s">
        <v>261</v>
      </c>
      <c r="E133" s="268">
        <v>13.0</v>
      </c>
      <c r="F133" s="163" t="s">
        <v>22</v>
      </c>
      <c r="G133" s="163" t="s">
        <v>24</v>
      </c>
      <c r="H133" s="235"/>
      <c r="I133" s="155"/>
      <c r="J133" s="229" t="s">
        <v>50</v>
      </c>
      <c r="K133" s="274">
        <f t="shared" si="9"/>
        <v>128</v>
      </c>
      <c r="L133" s="237"/>
      <c r="M133" s="238"/>
      <c r="N133" s="239"/>
      <c r="O133" s="240"/>
      <c r="P133" s="225" t="str">
        <f t="shared" si="10"/>
        <v/>
      </c>
      <c r="Q133" s="172"/>
    </row>
    <row r="134">
      <c r="A134" s="226" t="s">
        <v>50</v>
      </c>
      <c r="B134" s="159" t="s">
        <v>97</v>
      </c>
      <c r="C134" s="178">
        <v>43943.0</v>
      </c>
      <c r="D134" s="179" t="s">
        <v>144</v>
      </c>
      <c r="E134" s="268">
        <v>10.0</v>
      </c>
      <c r="F134" s="163" t="s">
        <v>22</v>
      </c>
      <c r="G134" s="163" t="s">
        <v>24</v>
      </c>
      <c r="H134" s="227"/>
      <c r="I134" s="155"/>
      <c r="J134" s="229" t="s">
        <v>50</v>
      </c>
      <c r="K134" s="274">
        <f t="shared" si="9"/>
        <v>129</v>
      </c>
      <c r="L134" s="237"/>
      <c r="M134" s="238"/>
      <c r="N134" s="239"/>
      <c r="O134" s="240"/>
      <c r="P134" s="225" t="str">
        <f t="shared" si="10"/>
        <v/>
      </c>
      <c r="Q134" s="172"/>
    </row>
    <row r="135">
      <c r="A135" s="226" t="s">
        <v>50</v>
      </c>
      <c r="B135" s="159" t="s">
        <v>97</v>
      </c>
      <c r="C135" s="178">
        <v>43943.0</v>
      </c>
      <c r="D135" s="179" t="s">
        <v>262</v>
      </c>
      <c r="E135" s="268">
        <v>3.0</v>
      </c>
      <c r="F135" s="163" t="s">
        <v>22</v>
      </c>
      <c r="G135" s="163" t="s">
        <v>24</v>
      </c>
      <c r="H135" s="235"/>
      <c r="I135" s="155"/>
      <c r="J135" s="229" t="s">
        <v>50</v>
      </c>
      <c r="K135" s="274">
        <f t="shared" si="9"/>
        <v>130</v>
      </c>
      <c r="L135" s="237"/>
      <c r="M135" s="238"/>
      <c r="N135" s="239"/>
      <c r="O135" s="240"/>
      <c r="P135" s="225"/>
      <c r="Q135" s="172"/>
    </row>
    <row r="136">
      <c r="A136" s="226" t="s">
        <v>50</v>
      </c>
      <c r="B136" s="159" t="s">
        <v>97</v>
      </c>
      <c r="C136" s="178">
        <v>43943.0</v>
      </c>
      <c r="D136" s="179" t="s">
        <v>97</v>
      </c>
      <c r="E136" s="268">
        <v>265.0</v>
      </c>
      <c r="F136" s="163" t="s">
        <v>26</v>
      </c>
      <c r="G136" s="163" t="s">
        <v>27</v>
      </c>
      <c r="H136" s="227"/>
      <c r="I136" s="155"/>
      <c r="J136" s="229" t="s">
        <v>50</v>
      </c>
      <c r="K136" s="274">
        <f t="shared" si="9"/>
        <v>131</v>
      </c>
      <c r="L136" s="237"/>
      <c r="M136" s="238"/>
      <c r="N136" s="239"/>
      <c r="O136" s="240"/>
      <c r="P136" s="225" t="str">
        <f t="shared" ref="P136:P169" si="11">iferror($N136/$O136,"")</f>
        <v/>
      </c>
      <c r="Q136" s="172"/>
    </row>
    <row r="137">
      <c r="A137" s="226" t="s">
        <v>50</v>
      </c>
      <c r="B137" s="159" t="s">
        <v>107</v>
      </c>
      <c r="C137" s="178">
        <v>43931.0</v>
      </c>
      <c r="D137" s="179" t="s">
        <v>223</v>
      </c>
      <c r="E137" s="268">
        <v>479.0</v>
      </c>
      <c r="F137" s="163" t="s">
        <v>14</v>
      </c>
      <c r="G137" s="163" t="s">
        <v>16</v>
      </c>
      <c r="H137" s="281" t="s">
        <v>17</v>
      </c>
      <c r="I137" s="155"/>
      <c r="J137" s="229" t="s">
        <v>50</v>
      </c>
      <c r="K137" s="274">
        <f t="shared" si="9"/>
        <v>132</v>
      </c>
      <c r="L137" s="237"/>
      <c r="M137" s="238"/>
      <c r="N137" s="239"/>
      <c r="O137" s="240"/>
      <c r="P137" s="225" t="str">
        <f t="shared" si="11"/>
        <v/>
      </c>
      <c r="Q137" s="172"/>
    </row>
    <row r="138">
      <c r="A138" s="226" t="s">
        <v>50</v>
      </c>
      <c r="B138" s="159" t="s">
        <v>107</v>
      </c>
      <c r="C138" s="178">
        <v>43934.0</v>
      </c>
      <c r="D138" s="179" t="s">
        <v>263</v>
      </c>
      <c r="E138" s="268">
        <v>69.35</v>
      </c>
      <c r="F138" s="163" t="s">
        <v>14</v>
      </c>
      <c r="G138" s="163" t="s">
        <v>16</v>
      </c>
      <c r="H138" s="247" t="s">
        <v>17</v>
      </c>
      <c r="I138" s="155"/>
      <c r="J138" s="229" t="s">
        <v>50</v>
      </c>
      <c r="K138" s="274">
        <f t="shared" si="9"/>
        <v>133</v>
      </c>
      <c r="L138" s="237"/>
      <c r="M138" s="238"/>
      <c r="N138" s="239"/>
      <c r="O138" s="240"/>
      <c r="P138" s="225" t="str">
        <f t="shared" si="11"/>
        <v/>
      </c>
      <c r="Q138" s="172"/>
    </row>
    <row r="139">
      <c r="A139" s="226" t="s">
        <v>50</v>
      </c>
      <c r="B139" s="159"/>
      <c r="C139" s="178"/>
      <c r="D139" s="179"/>
      <c r="E139" s="268"/>
      <c r="F139" s="163"/>
      <c r="G139" s="269"/>
      <c r="H139" s="281"/>
      <c r="I139" s="155"/>
      <c r="J139" s="229" t="s">
        <v>50</v>
      </c>
      <c r="K139" s="274">
        <f t="shared" si="9"/>
        <v>134</v>
      </c>
      <c r="L139" s="237"/>
      <c r="M139" s="238"/>
      <c r="N139" s="239"/>
      <c r="O139" s="240"/>
      <c r="P139" s="225" t="str">
        <f t="shared" si="11"/>
        <v/>
      </c>
      <c r="Q139" s="172"/>
    </row>
    <row r="140">
      <c r="A140" s="226" t="s">
        <v>50</v>
      </c>
      <c r="B140" s="159"/>
      <c r="C140" s="178"/>
      <c r="D140" s="179"/>
      <c r="E140" s="268"/>
      <c r="F140" s="163"/>
      <c r="G140" s="269"/>
      <c r="H140" s="227"/>
      <c r="I140" s="155"/>
      <c r="J140" s="229" t="s">
        <v>50</v>
      </c>
      <c r="K140" s="274">
        <f t="shared" si="9"/>
        <v>135</v>
      </c>
      <c r="L140" s="237"/>
      <c r="M140" s="238"/>
      <c r="N140" s="239"/>
      <c r="O140" s="240"/>
      <c r="P140" s="225" t="str">
        <f t="shared" si="11"/>
        <v/>
      </c>
      <c r="Q140" s="172"/>
    </row>
    <row r="141">
      <c r="A141" s="226" t="s">
        <v>50</v>
      </c>
      <c r="B141" s="159"/>
      <c r="C141" s="178"/>
      <c r="D141" s="179"/>
      <c r="E141" s="268"/>
      <c r="F141" s="163"/>
      <c r="G141" s="269"/>
      <c r="H141" s="235"/>
      <c r="I141" s="155"/>
      <c r="J141" s="229" t="s">
        <v>50</v>
      </c>
      <c r="K141" s="274">
        <f t="shared" si="9"/>
        <v>136</v>
      </c>
      <c r="L141" s="237"/>
      <c r="M141" s="238"/>
      <c r="N141" s="239"/>
      <c r="O141" s="240"/>
      <c r="P141" s="225" t="str">
        <f t="shared" si="11"/>
        <v/>
      </c>
      <c r="Q141" s="172"/>
    </row>
    <row r="142">
      <c r="A142" s="226" t="s">
        <v>50</v>
      </c>
      <c r="B142" s="159"/>
      <c r="C142" s="178"/>
      <c r="D142" s="179"/>
      <c r="E142" s="268"/>
      <c r="F142" s="163"/>
      <c r="G142" s="269"/>
      <c r="H142" s="227"/>
      <c r="I142" s="155"/>
      <c r="J142" s="229" t="s">
        <v>50</v>
      </c>
      <c r="K142" s="274">
        <f t="shared" si="9"/>
        <v>137</v>
      </c>
      <c r="L142" s="237"/>
      <c r="M142" s="238"/>
      <c r="N142" s="239"/>
      <c r="O142" s="240"/>
      <c r="P142" s="225" t="str">
        <f t="shared" si="11"/>
        <v/>
      </c>
      <c r="Q142" s="172"/>
    </row>
    <row r="143">
      <c r="A143" s="226" t="s">
        <v>50</v>
      </c>
      <c r="B143" s="159"/>
      <c r="C143" s="178"/>
      <c r="D143" s="179"/>
      <c r="E143" s="268"/>
      <c r="F143" s="163"/>
      <c r="G143" s="269"/>
      <c r="H143" s="235"/>
      <c r="I143" s="155"/>
      <c r="J143" s="229" t="s">
        <v>50</v>
      </c>
      <c r="K143" s="274">
        <f t="shared" si="9"/>
        <v>138</v>
      </c>
      <c r="L143" s="237"/>
      <c r="M143" s="238"/>
      <c r="N143" s="239"/>
      <c r="O143" s="240"/>
      <c r="P143" s="225" t="str">
        <f t="shared" si="11"/>
        <v/>
      </c>
      <c r="Q143" s="172"/>
    </row>
    <row r="144">
      <c r="A144" s="226" t="s">
        <v>50</v>
      </c>
      <c r="B144" s="159"/>
      <c r="C144" s="178"/>
      <c r="D144" s="179"/>
      <c r="E144" s="268"/>
      <c r="F144" s="163"/>
      <c r="G144" s="269"/>
      <c r="H144" s="227"/>
      <c r="I144" s="155"/>
      <c r="J144" s="229" t="s">
        <v>50</v>
      </c>
      <c r="K144" s="274">
        <f t="shared" si="9"/>
        <v>139</v>
      </c>
      <c r="L144" s="237"/>
      <c r="M144" s="238"/>
      <c r="N144" s="239"/>
      <c r="O144" s="240"/>
      <c r="P144" s="225" t="str">
        <f t="shared" si="11"/>
        <v/>
      </c>
      <c r="Q144" s="172"/>
    </row>
    <row r="145">
      <c r="A145" s="226" t="s">
        <v>50</v>
      </c>
      <c r="B145" s="159"/>
      <c r="C145" s="178"/>
      <c r="D145" s="179"/>
      <c r="E145" s="268"/>
      <c r="F145" s="163"/>
      <c r="G145" s="269"/>
      <c r="H145" s="235"/>
      <c r="I145" s="155"/>
      <c r="J145" s="229" t="s">
        <v>50</v>
      </c>
      <c r="K145" s="274">
        <f t="shared" si="9"/>
        <v>140</v>
      </c>
      <c r="L145" s="237"/>
      <c r="M145" s="238"/>
      <c r="N145" s="239"/>
      <c r="O145" s="240"/>
      <c r="P145" s="225" t="str">
        <f t="shared" si="11"/>
        <v/>
      </c>
      <c r="Q145" s="172"/>
    </row>
    <row r="146">
      <c r="A146" s="226" t="s">
        <v>50</v>
      </c>
      <c r="B146" s="159"/>
      <c r="C146" s="178"/>
      <c r="D146" s="179"/>
      <c r="E146" s="268"/>
      <c r="F146" s="163"/>
      <c r="G146" s="269"/>
      <c r="H146" s="227"/>
      <c r="I146" s="155"/>
      <c r="J146" s="229" t="s">
        <v>50</v>
      </c>
      <c r="K146" s="274">
        <f t="shared" si="9"/>
        <v>141</v>
      </c>
      <c r="L146" s="237"/>
      <c r="M146" s="238"/>
      <c r="N146" s="239"/>
      <c r="O146" s="240"/>
      <c r="P146" s="225" t="str">
        <f t="shared" si="11"/>
        <v/>
      </c>
      <c r="Q146" s="172"/>
    </row>
    <row r="147">
      <c r="A147" s="226" t="s">
        <v>50</v>
      </c>
      <c r="B147" s="159"/>
      <c r="C147" s="178"/>
      <c r="D147" s="179"/>
      <c r="E147" s="268"/>
      <c r="F147" s="163"/>
      <c r="G147" s="269"/>
      <c r="H147" s="235"/>
      <c r="I147" s="155"/>
      <c r="J147" s="229" t="s">
        <v>50</v>
      </c>
      <c r="K147" s="274">
        <f t="shared" si="9"/>
        <v>142</v>
      </c>
      <c r="L147" s="237"/>
      <c r="M147" s="238"/>
      <c r="N147" s="239"/>
      <c r="O147" s="240"/>
      <c r="P147" s="225" t="str">
        <f t="shared" si="11"/>
        <v/>
      </c>
      <c r="Q147" s="172"/>
    </row>
    <row r="148">
      <c r="A148" s="226" t="s">
        <v>50</v>
      </c>
      <c r="B148" s="159"/>
      <c r="C148" s="178"/>
      <c r="D148" s="179"/>
      <c r="E148" s="268"/>
      <c r="F148" s="163"/>
      <c r="G148" s="269"/>
      <c r="H148" s="227"/>
      <c r="I148" s="155"/>
      <c r="J148" s="229" t="s">
        <v>50</v>
      </c>
      <c r="K148" s="274">
        <f t="shared" si="9"/>
        <v>143</v>
      </c>
      <c r="L148" s="237"/>
      <c r="M148" s="238"/>
      <c r="N148" s="239"/>
      <c r="O148" s="240"/>
      <c r="P148" s="225" t="str">
        <f t="shared" si="11"/>
        <v/>
      </c>
      <c r="Q148" s="172"/>
    </row>
    <row r="149">
      <c r="A149" s="226" t="s">
        <v>50</v>
      </c>
      <c r="B149" s="159"/>
      <c r="C149" s="178"/>
      <c r="D149" s="179"/>
      <c r="E149" s="268"/>
      <c r="F149" s="163"/>
      <c r="G149" s="269"/>
      <c r="H149" s="235"/>
      <c r="I149" s="155"/>
      <c r="J149" s="229" t="s">
        <v>50</v>
      </c>
      <c r="K149" s="274">
        <f t="shared" si="9"/>
        <v>144</v>
      </c>
      <c r="L149" s="237"/>
      <c r="M149" s="238"/>
      <c r="N149" s="239"/>
      <c r="O149" s="240"/>
      <c r="P149" s="225" t="str">
        <f t="shared" si="11"/>
        <v/>
      </c>
      <c r="Q149" s="172"/>
    </row>
    <row r="150">
      <c r="A150" s="226" t="s">
        <v>50</v>
      </c>
      <c r="B150" s="159"/>
      <c r="C150" s="178"/>
      <c r="D150" s="179"/>
      <c r="E150" s="268"/>
      <c r="F150" s="163"/>
      <c r="G150" s="269"/>
      <c r="H150" s="227"/>
      <c r="I150" s="155"/>
      <c r="J150" s="229" t="s">
        <v>50</v>
      </c>
      <c r="K150" s="274">
        <f t="shared" si="9"/>
        <v>145</v>
      </c>
      <c r="L150" s="237"/>
      <c r="M150" s="238"/>
      <c r="N150" s="239"/>
      <c r="O150" s="240"/>
      <c r="P150" s="225" t="str">
        <f t="shared" si="11"/>
        <v/>
      </c>
      <c r="Q150" s="172"/>
    </row>
    <row r="151">
      <c r="A151" s="226" t="s">
        <v>50</v>
      </c>
      <c r="B151" s="159"/>
      <c r="C151" s="178"/>
      <c r="D151" s="179"/>
      <c r="E151" s="268"/>
      <c r="F151" s="163"/>
      <c r="G151" s="269"/>
      <c r="H151" s="235"/>
      <c r="I151" s="155"/>
      <c r="J151" s="229" t="s">
        <v>50</v>
      </c>
      <c r="K151" s="274">
        <f t="shared" si="9"/>
        <v>146</v>
      </c>
      <c r="L151" s="237"/>
      <c r="M151" s="238"/>
      <c r="N151" s="239"/>
      <c r="O151" s="240"/>
      <c r="P151" s="225" t="str">
        <f t="shared" si="11"/>
        <v/>
      </c>
      <c r="Q151" s="172"/>
    </row>
    <row r="152">
      <c r="A152" s="226" t="s">
        <v>50</v>
      </c>
      <c r="B152" s="159"/>
      <c r="C152" s="178"/>
      <c r="D152" s="179"/>
      <c r="E152" s="268"/>
      <c r="F152" s="163"/>
      <c r="G152" s="269"/>
      <c r="H152" s="227"/>
      <c r="I152" s="155"/>
      <c r="J152" s="229" t="s">
        <v>50</v>
      </c>
      <c r="K152" s="274">
        <f t="shared" si="9"/>
        <v>147</v>
      </c>
      <c r="L152" s="237"/>
      <c r="M152" s="238"/>
      <c r="N152" s="239"/>
      <c r="O152" s="240"/>
      <c r="P152" s="225" t="str">
        <f t="shared" si="11"/>
        <v/>
      </c>
      <c r="Q152" s="172"/>
    </row>
    <row r="153">
      <c r="A153" s="226" t="s">
        <v>50</v>
      </c>
      <c r="B153" s="159"/>
      <c r="C153" s="178"/>
      <c r="D153" s="179"/>
      <c r="E153" s="268"/>
      <c r="F153" s="163"/>
      <c r="G153" s="163"/>
      <c r="H153" s="235"/>
      <c r="I153" s="155"/>
      <c r="J153" s="229" t="s">
        <v>50</v>
      </c>
      <c r="K153" s="278">
        <f t="shared" si="9"/>
        <v>148</v>
      </c>
      <c r="L153" s="243"/>
      <c r="M153" s="151"/>
      <c r="N153" s="244"/>
      <c r="O153" s="245"/>
      <c r="P153" s="225" t="str">
        <f t="shared" si="11"/>
        <v/>
      </c>
      <c r="Q153" s="172"/>
    </row>
    <row r="154">
      <c r="A154" s="226" t="s">
        <v>50</v>
      </c>
      <c r="B154" s="159"/>
      <c r="C154" s="178"/>
      <c r="D154" s="179"/>
      <c r="E154" s="268"/>
      <c r="F154" s="163"/>
      <c r="G154" s="163"/>
      <c r="H154" s="227"/>
      <c r="I154" s="155"/>
      <c r="J154" s="229" t="s">
        <v>50</v>
      </c>
      <c r="K154" s="278">
        <f t="shared" si="9"/>
        <v>149</v>
      </c>
      <c r="L154" s="243"/>
      <c r="M154" s="151"/>
      <c r="N154" s="244"/>
      <c r="O154" s="245"/>
      <c r="P154" s="225" t="str">
        <f t="shared" si="11"/>
        <v/>
      </c>
      <c r="Q154" s="172"/>
    </row>
    <row r="155">
      <c r="A155" s="226" t="s">
        <v>50</v>
      </c>
      <c r="B155" s="159"/>
      <c r="C155" s="178"/>
      <c r="D155" s="179"/>
      <c r="E155" s="268"/>
      <c r="F155" s="163"/>
      <c r="G155" s="163"/>
      <c r="H155" s="235"/>
      <c r="I155" s="155"/>
      <c r="J155" s="229" t="s">
        <v>50</v>
      </c>
      <c r="K155" s="278">
        <f t="shared" si="9"/>
        <v>150</v>
      </c>
      <c r="L155" s="243"/>
      <c r="M155" s="151"/>
      <c r="N155" s="244"/>
      <c r="O155" s="245"/>
      <c r="P155" s="225" t="str">
        <f t="shared" si="11"/>
        <v/>
      </c>
      <c r="Q155" s="172"/>
    </row>
    <row r="156">
      <c r="A156" s="226" t="s">
        <v>50</v>
      </c>
      <c r="B156" s="159"/>
      <c r="C156" s="178"/>
      <c r="D156" s="179"/>
      <c r="E156" s="268"/>
      <c r="F156" s="163"/>
      <c r="G156" s="163"/>
      <c r="H156" s="227"/>
      <c r="I156" s="155"/>
      <c r="J156" s="229" t="s">
        <v>50</v>
      </c>
      <c r="K156" s="278">
        <f t="shared" si="9"/>
        <v>151</v>
      </c>
      <c r="L156" s="243"/>
      <c r="M156" s="151"/>
      <c r="N156" s="244"/>
      <c r="O156" s="245"/>
      <c r="P156" s="225" t="str">
        <f t="shared" si="11"/>
        <v/>
      </c>
      <c r="Q156" s="172"/>
    </row>
    <row r="157">
      <c r="A157" s="226" t="s">
        <v>50</v>
      </c>
      <c r="B157" s="159"/>
      <c r="C157" s="178"/>
      <c r="D157" s="179"/>
      <c r="E157" s="268"/>
      <c r="F157" s="163"/>
      <c r="G157" s="163"/>
      <c r="H157" s="235"/>
      <c r="I157" s="155"/>
      <c r="J157" s="229" t="s">
        <v>50</v>
      </c>
      <c r="K157" s="278">
        <f t="shared" si="9"/>
        <v>152</v>
      </c>
      <c r="L157" s="243"/>
      <c r="M157" s="151"/>
      <c r="N157" s="244"/>
      <c r="O157" s="245"/>
      <c r="P157" s="225" t="str">
        <f t="shared" si="11"/>
        <v/>
      </c>
      <c r="Q157" s="172"/>
    </row>
    <row r="158">
      <c r="A158" s="226" t="s">
        <v>50</v>
      </c>
      <c r="B158" s="159"/>
      <c r="C158" s="178"/>
      <c r="D158" s="179"/>
      <c r="E158" s="268"/>
      <c r="F158" s="163"/>
      <c r="G158" s="163"/>
      <c r="H158" s="227"/>
      <c r="I158" s="155"/>
      <c r="J158" s="229" t="s">
        <v>50</v>
      </c>
      <c r="K158" s="278">
        <f t="shared" si="9"/>
        <v>153</v>
      </c>
      <c r="L158" s="243"/>
      <c r="M158" s="151"/>
      <c r="N158" s="244"/>
      <c r="O158" s="245"/>
      <c r="P158" s="225" t="str">
        <f t="shared" si="11"/>
        <v/>
      </c>
      <c r="Q158" s="172"/>
    </row>
    <row r="159">
      <c r="A159" s="226" t="s">
        <v>50</v>
      </c>
      <c r="B159" s="159"/>
      <c r="C159" s="178"/>
      <c r="D159" s="179"/>
      <c r="E159" s="268"/>
      <c r="F159" s="163"/>
      <c r="G159" s="163"/>
      <c r="H159" s="235"/>
      <c r="I159" s="155"/>
      <c r="J159" s="229" t="s">
        <v>50</v>
      </c>
      <c r="K159" s="278">
        <f t="shared" si="9"/>
        <v>154</v>
      </c>
      <c r="L159" s="243"/>
      <c r="M159" s="151"/>
      <c r="N159" s="244"/>
      <c r="O159" s="245"/>
      <c r="P159" s="225" t="str">
        <f t="shared" si="11"/>
        <v/>
      </c>
      <c r="Q159" s="173"/>
    </row>
    <row r="160">
      <c r="A160" s="226" t="s">
        <v>50</v>
      </c>
      <c r="B160" s="159"/>
      <c r="C160" s="178"/>
      <c r="D160" s="179"/>
      <c r="E160" s="268"/>
      <c r="F160" s="163"/>
      <c r="G160" s="163"/>
      <c r="H160" s="227"/>
      <c r="I160" s="155"/>
      <c r="J160" s="229" t="s">
        <v>50</v>
      </c>
      <c r="K160" s="278">
        <f t="shared" si="9"/>
        <v>155</v>
      </c>
      <c r="L160" s="243"/>
      <c r="M160" s="163"/>
      <c r="N160" s="223"/>
      <c r="O160" s="224"/>
      <c r="P160" s="225" t="str">
        <f t="shared" si="11"/>
        <v/>
      </c>
      <c r="Q160" s="173"/>
    </row>
    <row r="161">
      <c r="A161" s="226" t="s">
        <v>50</v>
      </c>
      <c r="B161" s="159"/>
      <c r="C161" s="178"/>
      <c r="D161" s="179"/>
      <c r="E161" s="268"/>
      <c r="F161" s="163"/>
      <c r="G161" s="163"/>
      <c r="H161" s="235"/>
      <c r="I161" s="155"/>
      <c r="J161" s="229" t="s">
        <v>50</v>
      </c>
      <c r="K161" s="278">
        <f t="shared" si="9"/>
        <v>156</v>
      </c>
      <c r="L161" s="243"/>
      <c r="M161" s="163"/>
      <c r="N161" s="223"/>
      <c r="O161" s="224"/>
      <c r="P161" s="225" t="str">
        <f t="shared" si="11"/>
        <v/>
      </c>
      <c r="Q161" s="173"/>
    </row>
    <row r="162">
      <c r="A162" s="226" t="s">
        <v>50</v>
      </c>
      <c r="B162" s="159"/>
      <c r="C162" s="178"/>
      <c r="D162" s="179"/>
      <c r="E162" s="268"/>
      <c r="F162" s="163"/>
      <c r="G162" s="163"/>
      <c r="H162" s="227"/>
      <c r="I162" s="155"/>
      <c r="J162" s="229" t="s">
        <v>50</v>
      </c>
      <c r="K162" s="278">
        <f t="shared" si="9"/>
        <v>157</v>
      </c>
      <c r="L162" s="243"/>
      <c r="M162" s="248"/>
      <c r="N162" s="223"/>
      <c r="O162" s="224"/>
      <c r="P162" s="225" t="str">
        <f t="shared" si="11"/>
        <v/>
      </c>
      <c r="Q162" s="173"/>
    </row>
    <row r="163">
      <c r="A163" s="226" t="s">
        <v>50</v>
      </c>
      <c r="B163" s="159"/>
      <c r="C163" s="178"/>
      <c r="D163" s="179"/>
      <c r="E163" s="268"/>
      <c r="F163" s="163"/>
      <c r="G163" s="163"/>
      <c r="H163" s="235"/>
      <c r="I163" s="155"/>
      <c r="J163" s="229" t="s">
        <v>50</v>
      </c>
      <c r="K163" s="278">
        <f t="shared" si="9"/>
        <v>158</v>
      </c>
      <c r="L163" s="243"/>
      <c r="M163" s="248"/>
      <c r="N163" s="223"/>
      <c r="O163" s="224"/>
      <c r="P163" s="225" t="str">
        <f t="shared" si="11"/>
        <v/>
      </c>
      <c r="Q163" s="173"/>
    </row>
    <row r="164">
      <c r="A164" s="226" t="s">
        <v>50</v>
      </c>
      <c r="B164" s="159"/>
      <c r="C164" s="178"/>
      <c r="D164" s="179"/>
      <c r="E164" s="268"/>
      <c r="F164" s="163"/>
      <c r="G164" s="163"/>
      <c r="H164" s="227"/>
      <c r="I164" s="155"/>
      <c r="J164" s="229" t="s">
        <v>50</v>
      </c>
      <c r="K164" s="278">
        <f t="shared" si="9"/>
        <v>159</v>
      </c>
      <c r="L164" s="243"/>
      <c r="M164" s="248"/>
      <c r="N164" s="223"/>
      <c r="O164" s="224"/>
      <c r="P164" s="225" t="str">
        <f t="shared" si="11"/>
        <v/>
      </c>
      <c r="Q164" s="173"/>
    </row>
    <row r="165">
      <c r="A165" s="226" t="s">
        <v>50</v>
      </c>
      <c r="B165" s="159"/>
      <c r="C165" s="178"/>
      <c r="D165" s="179"/>
      <c r="E165" s="268"/>
      <c r="F165" s="163"/>
      <c r="G165" s="163"/>
      <c r="H165" s="235"/>
      <c r="I165" s="155"/>
      <c r="J165" s="229" t="s">
        <v>50</v>
      </c>
      <c r="K165" s="278">
        <f t="shared" si="9"/>
        <v>160</v>
      </c>
      <c r="L165" s="243"/>
      <c r="M165" s="249"/>
      <c r="N165" s="244"/>
      <c r="O165" s="245"/>
      <c r="P165" s="225" t="str">
        <f t="shared" si="11"/>
        <v/>
      </c>
      <c r="Q165" s="173"/>
    </row>
    <row r="166">
      <c r="A166" s="226" t="s">
        <v>50</v>
      </c>
      <c r="B166" s="159"/>
      <c r="C166" s="178"/>
      <c r="D166" s="179"/>
      <c r="E166" s="268"/>
      <c r="F166" s="163"/>
      <c r="G166" s="163"/>
      <c r="H166" s="227"/>
      <c r="I166" s="155"/>
      <c r="J166" s="229" t="s">
        <v>50</v>
      </c>
      <c r="K166" s="278">
        <f t="shared" si="9"/>
        <v>161</v>
      </c>
      <c r="L166" s="243"/>
      <c r="M166" s="249"/>
      <c r="N166" s="244"/>
      <c r="O166" s="245"/>
      <c r="P166" s="225" t="str">
        <f t="shared" si="11"/>
        <v/>
      </c>
      <c r="Q166" s="173"/>
    </row>
    <row r="167">
      <c r="A167" s="226" t="s">
        <v>50</v>
      </c>
      <c r="B167" s="159"/>
      <c r="C167" s="178"/>
      <c r="D167" s="179"/>
      <c r="E167" s="268"/>
      <c r="F167" s="163"/>
      <c r="G167" s="163"/>
      <c r="H167" s="235"/>
      <c r="I167" s="155"/>
      <c r="J167" s="229" t="s">
        <v>50</v>
      </c>
      <c r="K167" s="278">
        <f t="shared" si="9"/>
        <v>162</v>
      </c>
      <c r="L167" s="243"/>
      <c r="M167" s="249"/>
      <c r="N167" s="244"/>
      <c r="O167" s="245"/>
      <c r="P167" s="225" t="str">
        <f t="shared" si="11"/>
        <v/>
      </c>
      <c r="Q167" s="173"/>
    </row>
    <row r="168">
      <c r="A168" s="226" t="s">
        <v>50</v>
      </c>
      <c r="B168" s="159"/>
      <c r="C168" s="178"/>
      <c r="D168" s="179"/>
      <c r="E168" s="268"/>
      <c r="F168" s="163"/>
      <c r="G168" s="163"/>
      <c r="H168" s="227"/>
      <c r="I168" s="155"/>
      <c r="J168" s="229" t="s">
        <v>50</v>
      </c>
      <c r="K168" s="278">
        <f t="shared" si="9"/>
        <v>163</v>
      </c>
      <c r="L168" s="243"/>
      <c r="M168" s="248"/>
      <c r="N168" s="244"/>
      <c r="O168" s="224"/>
      <c r="P168" s="225" t="str">
        <f t="shared" si="11"/>
        <v/>
      </c>
      <c r="Q168" s="173"/>
    </row>
    <row r="169">
      <c r="A169" s="250" t="s">
        <v>50</v>
      </c>
      <c r="B169" s="193"/>
      <c r="C169" s="194"/>
      <c r="D169" s="195"/>
      <c r="E169" s="270"/>
      <c r="F169" s="197"/>
      <c r="G169" s="197"/>
      <c r="H169" s="251"/>
      <c r="I169" s="155"/>
      <c r="J169" s="252" t="s">
        <v>50</v>
      </c>
      <c r="K169" s="279">
        <f t="shared" si="9"/>
        <v>164</v>
      </c>
      <c r="L169" s="253"/>
      <c r="M169" s="254"/>
      <c r="N169" s="255"/>
      <c r="O169" s="256"/>
      <c r="P169" s="225" t="str">
        <f t="shared" si="11"/>
        <v/>
      </c>
      <c r="Q169" s="258"/>
    </row>
    <row r="170">
      <c r="B170" s="198"/>
      <c r="C170" s="199"/>
      <c r="D170" s="200"/>
      <c r="E170" s="272"/>
      <c r="F170" s="141"/>
      <c r="G170" s="141"/>
      <c r="H170" s="155"/>
      <c r="I170" s="155"/>
      <c r="K170" s="259"/>
      <c r="L170" s="155"/>
      <c r="N170" s="177"/>
      <c r="O170" s="273"/>
      <c r="P170" s="280"/>
    </row>
    <row r="171">
      <c r="A171" s="215" t="s">
        <v>51</v>
      </c>
      <c r="B171" s="187" t="s">
        <v>75</v>
      </c>
      <c r="C171" s="188">
        <v>43956.0</v>
      </c>
      <c r="D171" s="189" t="s">
        <v>264</v>
      </c>
      <c r="E171" s="261">
        <v>100.0</v>
      </c>
      <c r="F171" s="153" t="s">
        <v>22</v>
      </c>
      <c r="G171" s="153" t="s">
        <v>24</v>
      </c>
      <c r="H171" s="217"/>
      <c r="I171" s="155"/>
      <c r="J171" s="219" t="s">
        <v>51</v>
      </c>
      <c r="K171" s="230">
        <f>K169+1</f>
        <v>165</v>
      </c>
      <c r="L171" s="231">
        <v>43980.0</v>
      </c>
      <c r="M171" s="264" t="s">
        <v>265</v>
      </c>
      <c r="N171" s="265">
        <v>0.53</v>
      </c>
      <c r="O171" s="266">
        <v>1.0</v>
      </c>
      <c r="P171" s="225">
        <f t="shared" ref="P171:P211" si="12">iferror($N171/$O171,"")</f>
        <v>0.53</v>
      </c>
      <c r="Q171" s="191" t="s">
        <v>14</v>
      </c>
    </row>
    <row r="172">
      <c r="A172" s="226" t="s">
        <v>51</v>
      </c>
      <c r="B172" s="159" t="s">
        <v>89</v>
      </c>
      <c r="C172" s="178">
        <v>43956.0</v>
      </c>
      <c r="D172" s="179" t="s">
        <v>266</v>
      </c>
      <c r="E172" s="268">
        <v>5.0</v>
      </c>
      <c r="F172" s="163" t="s">
        <v>22</v>
      </c>
      <c r="G172" s="163" t="s">
        <v>24</v>
      </c>
      <c r="H172" s="227"/>
      <c r="I172" s="155"/>
      <c r="J172" s="229" t="s">
        <v>51</v>
      </c>
      <c r="K172" s="230">
        <f t="shared" ref="K172:K211" si="13">K171+1</f>
        <v>166</v>
      </c>
      <c r="L172" s="231">
        <v>43980.0</v>
      </c>
      <c r="M172" s="232" t="s">
        <v>267</v>
      </c>
      <c r="N172" s="233">
        <v>18.9</v>
      </c>
      <c r="O172" s="234">
        <v>1.0</v>
      </c>
      <c r="P172" s="225">
        <f t="shared" si="12"/>
        <v>18.9</v>
      </c>
      <c r="Q172" s="172" t="s">
        <v>14</v>
      </c>
    </row>
    <row r="173">
      <c r="A173" s="226" t="s">
        <v>51</v>
      </c>
      <c r="B173" s="159" t="s">
        <v>97</v>
      </c>
      <c r="C173" s="178">
        <v>43970.0</v>
      </c>
      <c r="D173" s="179" t="s">
        <v>268</v>
      </c>
      <c r="E173" s="268">
        <v>35.0</v>
      </c>
      <c r="F173" s="163" t="s">
        <v>14</v>
      </c>
      <c r="G173" s="163" t="s">
        <v>16</v>
      </c>
      <c r="H173" s="235"/>
      <c r="I173" s="155"/>
      <c r="J173" s="229" t="s">
        <v>51</v>
      </c>
      <c r="K173" s="230">
        <f t="shared" si="13"/>
        <v>167</v>
      </c>
      <c r="L173" s="231"/>
      <c r="M173" s="232"/>
      <c r="N173" s="233"/>
      <c r="O173" s="234"/>
      <c r="P173" s="225" t="str">
        <f t="shared" si="12"/>
        <v/>
      </c>
      <c r="Q173" s="172"/>
    </row>
    <row r="174">
      <c r="A174" s="226" t="s">
        <v>51</v>
      </c>
      <c r="B174" s="159" t="s">
        <v>97</v>
      </c>
      <c r="C174" s="178">
        <v>43972.0</v>
      </c>
      <c r="D174" s="179" t="s">
        <v>269</v>
      </c>
      <c r="E174" s="268">
        <v>502.0</v>
      </c>
      <c r="F174" s="163" t="s">
        <v>14</v>
      </c>
      <c r="G174" s="163" t="s">
        <v>16</v>
      </c>
      <c r="H174" s="227"/>
      <c r="I174" s="155"/>
      <c r="J174" s="229" t="s">
        <v>51</v>
      </c>
      <c r="K174" s="230">
        <f t="shared" si="13"/>
        <v>168</v>
      </c>
      <c r="L174" s="231"/>
      <c r="M174" s="232"/>
      <c r="N174" s="233"/>
      <c r="O174" s="234"/>
      <c r="P174" s="225" t="str">
        <f t="shared" si="12"/>
        <v/>
      </c>
      <c r="Q174" s="172"/>
    </row>
    <row r="175">
      <c r="A175" s="226" t="s">
        <v>51</v>
      </c>
      <c r="B175" s="159" t="s">
        <v>97</v>
      </c>
      <c r="C175" s="178">
        <v>43972.0</v>
      </c>
      <c r="D175" s="179" t="s">
        <v>196</v>
      </c>
      <c r="E175" s="268">
        <v>28.0</v>
      </c>
      <c r="F175" s="163" t="s">
        <v>22</v>
      </c>
      <c r="G175" s="163" t="s">
        <v>24</v>
      </c>
      <c r="H175" s="235"/>
      <c r="I175" s="155"/>
      <c r="J175" s="229" t="s">
        <v>51</v>
      </c>
      <c r="K175" s="274">
        <f t="shared" si="13"/>
        <v>169</v>
      </c>
      <c r="L175" s="237"/>
      <c r="M175" s="238"/>
      <c r="N175" s="239"/>
      <c r="O175" s="240"/>
      <c r="P175" s="225" t="str">
        <f t="shared" si="12"/>
        <v/>
      </c>
      <c r="Q175" s="172"/>
    </row>
    <row r="176">
      <c r="A176" s="226" t="s">
        <v>51</v>
      </c>
      <c r="B176" s="159" t="s">
        <v>107</v>
      </c>
      <c r="C176" s="178">
        <v>43959.0</v>
      </c>
      <c r="D176" s="179" t="s">
        <v>223</v>
      </c>
      <c r="E176" s="268">
        <v>130.15</v>
      </c>
      <c r="F176" s="163" t="s">
        <v>14</v>
      </c>
      <c r="G176" s="163" t="s">
        <v>16</v>
      </c>
      <c r="H176" s="247" t="s">
        <v>17</v>
      </c>
      <c r="I176" s="155"/>
      <c r="J176" s="229" t="s">
        <v>51</v>
      </c>
      <c r="K176" s="274">
        <f t="shared" si="13"/>
        <v>170</v>
      </c>
      <c r="L176" s="237"/>
      <c r="M176" s="238"/>
      <c r="N176" s="239"/>
      <c r="O176" s="240"/>
      <c r="P176" s="225" t="str">
        <f t="shared" si="12"/>
        <v/>
      </c>
      <c r="Q176" s="172"/>
    </row>
    <row r="177">
      <c r="A177" s="226" t="s">
        <v>51</v>
      </c>
      <c r="B177" s="159"/>
      <c r="C177" s="178"/>
      <c r="D177" s="179"/>
      <c r="E177" s="268"/>
      <c r="F177" s="163"/>
      <c r="G177" s="269"/>
      <c r="H177" s="235"/>
      <c r="I177" s="155"/>
      <c r="J177" s="229" t="s">
        <v>51</v>
      </c>
      <c r="K177" s="274">
        <f t="shared" si="13"/>
        <v>171</v>
      </c>
      <c r="L177" s="237"/>
      <c r="M177" s="238"/>
      <c r="N177" s="239"/>
      <c r="O177" s="240"/>
      <c r="P177" s="225" t="str">
        <f t="shared" si="12"/>
        <v/>
      </c>
      <c r="Q177" s="172"/>
    </row>
    <row r="178">
      <c r="A178" s="226" t="s">
        <v>51</v>
      </c>
      <c r="B178" s="159"/>
      <c r="C178" s="178"/>
      <c r="D178" s="179"/>
      <c r="E178" s="268"/>
      <c r="F178" s="163"/>
      <c r="G178" s="269"/>
      <c r="H178" s="227"/>
      <c r="I178" s="155"/>
      <c r="J178" s="229" t="s">
        <v>51</v>
      </c>
      <c r="K178" s="274">
        <f t="shared" si="13"/>
        <v>172</v>
      </c>
      <c r="L178" s="237"/>
      <c r="M178" s="238"/>
      <c r="N178" s="239"/>
      <c r="O178" s="240"/>
      <c r="P178" s="225" t="str">
        <f t="shared" si="12"/>
        <v/>
      </c>
      <c r="Q178" s="172"/>
    </row>
    <row r="179">
      <c r="A179" s="226" t="s">
        <v>51</v>
      </c>
      <c r="B179" s="159"/>
      <c r="C179" s="178"/>
      <c r="D179" s="179"/>
      <c r="E179" s="268"/>
      <c r="F179" s="163"/>
      <c r="G179" s="269"/>
      <c r="H179" s="281"/>
      <c r="I179" s="155"/>
      <c r="J179" s="229" t="s">
        <v>51</v>
      </c>
      <c r="K179" s="274">
        <f t="shared" si="13"/>
        <v>173</v>
      </c>
      <c r="L179" s="237"/>
      <c r="M179" s="238"/>
      <c r="N179" s="239"/>
      <c r="O179" s="240"/>
      <c r="P179" s="225" t="str">
        <f t="shared" si="12"/>
        <v/>
      </c>
      <c r="Q179" s="172"/>
    </row>
    <row r="180">
      <c r="A180" s="226" t="s">
        <v>51</v>
      </c>
      <c r="B180" s="159"/>
      <c r="C180" s="178"/>
      <c r="D180" s="179"/>
      <c r="E180" s="268"/>
      <c r="F180" s="163"/>
      <c r="G180" s="269"/>
      <c r="H180" s="247"/>
      <c r="I180" s="155"/>
      <c r="J180" s="229" t="s">
        <v>51</v>
      </c>
      <c r="K180" s="274">
        <f t="shared" si="13"/>
        <v>174</v>
      </c>
      <c r="L180" s="237"/>
      <c r="M180" s="238"/>
      <c r="N180" s="239"/>
      <c r="O180" s="240"/>
      <c r="P180" s="225" t="str">
        <f t="shared" si="12"/>
        <v/>
      </c>
      <c r="Q180" s="172"/>
    </row>
    <row r="181">
      <c r="A181" s="226" t="s">
        <v>51</v>
      </c>
      <c r="B181" s="159"/>
      <c r="C181" s="178"/>
      <c r="D181" s="179"/>
      <c r="E181" s="268"/>
      <c r="F181" s="163"/>
      <c r="G181" s="269"/>
      <c r="H181" s="235"/>
      <c r="I181" s="155"/>
      <c r="J181" s="229" t="s">
        <v>51</v>
      </c>
      <c r="K181" s="274">
        <f t="shared" si="13"/>
        <v>175</v>
      </c>
      <c r="L181" s="237"/>
      <c r="M181" s="238"/>
      <c r="N181" s="239"/>
      <c r="O181" s="240"/>
      <c r="P181" s="225" t="str">
        <f t="shared" si="12"/>
        <v/>
      </c>
      <c r="Q181" s="172"/>
    </row>
    <row r="182">
      <c r="A182" s="226" t="s">
        <v>51</v>
      </c>
      <c r="B182" s="159"/>
      <c r="C182" s="178"/>
      <c r="D182" s="179"/>
      <c r="E182" s="268"/>
      <c r="F182" s="163"/>
      <c r="G182" s="269"/>
      <c r="H182" s="227"/>
      <c r="I182" s="155"/>
      <c r="J182" s="229" t="s">
        <v>51</v>
      </c>
      <c r="K182" s="274">
        <f t="shared" si="13"/>
        <v>176</v>
      </c>
      <c r="L182" s="237"/>
      <c r="M182" s="238"/>
      <c r="N182" s="239"/>
      <c r="O182" s="240"/>
      <c r="P182" s="225" t="str">
        <f t="shared" si="12"/>
        <v/>
      </c>
      <c r="Q182" s="172"/>
    </row>
    <row r="183">
      <c r="A183" s="226" t="s">
        <v>51</v>
      </c>
      <c r="B183" s="159"/>
      <c r="C183" s="178"/>
      <c r="D183" s="179"/>
      <c r="E183" s="268"/>
      <c r="F183" s="163"/>
      <c r="G183" s="269"/>
      <c r="H183" s="235"/>
      <c r="I183" s="155"/>
      <c r="J183" s="229" t="s">
        <v>51</v>
      </c>
      <c r="K183" s="274">
        <f t="shared" si="13"/>
        <v>177</v>
      </c>
      <c r="L183" s="237"/>
      <c r="M183" s="238"/>
      <c r="N183" s="239"/>
      <c r="O183" s="240"/>
      <c r="P183" s="225" t="str">
        <f t="shared" si="12"/>
        <v/>
      </c>
      <c r="Q183" s="172"/>
    </row>
    <row r="184">
      <c r="A184" s="226" t="s">
        <v>51</v>
      </c>
      <c r="B184" s="159"/>
      <c r="C184" s="178"/>
      <c r="D184" s="179"/>
      <c r="E184" s="268"/>
      <c r="F184" s="163"/>
      <c r="G184" s="269"/>
      <c r="H184" s="227"/>
      <c r="I184" s="155"/>
      <c r="J184" s="229" t="s">
        <v>51</v>
      </c>
      <c r="K184" s="274">
        <f t="shared" si="13"/>
        <v>178</v>
      </c>
      <c r="L184" s="237"/>
      <c r="M184" s="238"/>
      <c r="N184" s="239"/>
      <c r="O184" s="240"/>
      <c r="P184" s="225" t="str">
        <f t="shared" si="12"/>
        <v/>
      </c>
      <c r="Q184" s="172"/>
    </row>
    <row r="185">
      <c r="A185" s="226" t="s">
        <v>51</v>
      </c>
      <c r="B185" s="159"/>
      <c r="C185" s="178"/>
      <c r="D185" s="179"/>
      <c r="E185" s="268"/>
      <c r="F185" s="163"/>
      <c r="G185" s="269"/>
      <c r="H185" s="235"/>
      <c r="I185" s="155"/>
      <c r="J185" s="229" t="s">
        <v>51</v>
      </c>
      <c r="K185" s="274">
        <f t="shared" si="13"/>
        <v>179</v>
      </c>
      <c r="L185" s="237"/>
      <c r="M185" s="238"/>
      <c r="N185" s="239"/>
      <c r="O185" s="240"/>
      <c r="P185" s="225" t="str">
        <f t="shared" si="12"/>
        <v/>
      </c>
      <c r="Q185" s="172"/>
    </row>
    <row r="186">
      <c r="A186" s="226" t="s">
        <v>51</v>
      </c>
      <c r="B186" s="159"/>
      <c r="C186" s="178"/>
      <c r="D186" s="179"/>
      <c r="E186" s="268"/>
      <c r="F186" s="163"/>
      <c r="G186" s="269"/>
      <c r="H186" s="227"/>
      <c r="I186" s="155"/>
      <c r="J186" s="229" t="s">
        <v>51</v>
      </c>
      <c r="K186" s="274">
        <f t="shared" si="13"/>
        <v>180</v>
      </c>
      <c r="L186" s="237"/>
      <c r="M186" s="238"/>
      <c r="N186" s="239"/>
      <c r="O186" s="240"/>
      <c r="P186" s="225" t="str">
        <f t="shared" si="12"/>
        <v/>
      </c>
      <c r="Q186" s="172"/>
    </row>
    <row r="187">
      <c r="A187" s="226" t="s">
        <v>51</v>
      </c>
      <c r="B187" s="159"/>
      <c r="C187" s="178"/>
      <c r="D187" s="179"/>
      <c r="E187" s="268"/>
      <c r="F187" s="163"/>
      <c r="G187" s="269"/>
      <c r="H187" s="235"/>
      <c r="I187" s="155"/>
      <c r="J187" s="229" t="s">
        <v>51</v>
      </c>
      <c r="K187" s="274">
        <f t="shared" si="13"/>
        <v>181</v>
      </c>
      <c r="L187" s="237"/>
      <c r="M187" s="238"/>
      <c r="N187" s="239"/>
      <c r="O187" s="240"/>
      <c r="P187" s="225" t="str">
        <f t="shared" si="12"/>
        <v/>
      </c>
      <c r="Q187" s="172"/>
    </row>
    <row r="188">
      <c r="A188" s="226" t="s">
        <v>51</v>
      </c>
      <c r="B188" s="159"/>
      <c r="C188" s="178"/>
      <c r="D188" s="179"/>
      <c r="E188" s="268"/>
      <c r="F188" s="163"/>
      <c r="G188" s="269"/>
      <c r="H188" s="227"/>
      <c r="I188" s="155"/>
      <c r="J188" s="229" t="s">
        <v>51</v>
      </c>
      <c r="K188" s="274">
        <f t="shared" si="13"/>
        <v>182</v>
      </c>
      <c r="L188" s="237"/>
      <c r="M188" s="238"/>
      <c r="N188" s="239"/>
      <c r="O188" s="240"/>
      <c r="P188" s="225" t="str">
        <f t="shared" si="12"/>
        <v/>
      </c>
      <c r="Q188" s="172"/>
    </row>
    <row r="189">
      <c r="A189" s="226" t="s">
        <v>51</v>
      </c>
      <c r="B189" s="159"/>
      <c r="C189" s="178"/>
      <c r="D189" s="179"/>
      <c r="E189" s="268"/>
      <c r="F189" s="163"/>
      <c r="G189" s="269"/>
      <c r="H189" s="235"/>
      <c r="I189" s="155"/>
      <c r="J189" s="229" t="s">
        <v>51</v>
      </c>
      <c r="K189" s="274">
        <f t="shared" si="13"/>
        <v>183</v>
      </c>
      <c r="L189" s="237"/>
      <c r="M189" s="238"/>
      <c r="N189" s="239"/>
      <c r="O189" s="240"/>
      <c r="P189" s="225" t="str">
        <f t="shared" si="12"/>
        <v/>
      </c>
      <c r="Q189" s="172"/>
    </row>
    <row r="190">
      <c r="A190" s="226" t="s">
        <v>51</v>
      </c>
      <c r="B190" s="159"/>
      <c r="C190" s="178"/>
      <c r="D190" s="179"/>
      <c r="E190" s="268"/>
      <c r="F190" s="163"/>
      <c r="G190" s="269"/>
      <c r="H190" s="227"/>
      <c r="I190" s="155"/>
      <c r="J190" s="229" t="s">
        <v>51</v>
      </c>
      <c r="K190" s="274">
        <f t="shared" si="13"/>
        <v>184</v>
      </c>
      <c r="L190" s="237"/>
      <c r="M190" s="238"/>
      <c r="N190" s="239"/>
      <c r="O190" s="240"/>
      <c r="P190" s="225" t="str">
        <f t="shared" si="12"/>
        <v/>
      </c>
      <c r="Q190" s="172"/>
    </row>
    <row r="191">
      <c r="A191" s="226" t="s">
        <v>51</v>
      </c>
      <c r="B191" s="159"/>
      <c r="C191" s="178"/>
      <c r="D191" s="179"/>
      <c r="E191" s="268"/>
      <c r="F191" s="163"/>
      <c r="G191" s="269"/>
      <c r="H191" s="235"/>
      <c r="I191" s="155"/>
      <c r="J191" s="229" t="s">
        <v>51</v>
      </c>
      <c r="K191" s="274">
        <f t="shared" si="13"/>
        <v>185</v>
      </c>
      <c r="L191" s="237"/>
      <c r="M191" s="238"/>
      <c r="N191" s="239"/>
      <c r="O191" s="240"/>
      <c r="P191" s="225" t="str">
        <f t="shared" si="12"/>
        <v/>
      </c>
      <c r="Q191" s="172"/>
    </row>
    <row r="192">
      <c r="A192" s="226" t="s">
        <v>51</v>
      </c>
      <c r="B192" s="159"/>
      <c r="C192" s="178"/>
      <c r="D192" s="179"/>
      <c r="E192" s="268"/>
      <c r="F192" s="163"/>
      <c r="G192" s="269"/>
      <c r="H192" s="227"/>
      <c r="I192" s="155"/>
      <c r="J192" s="229" t="s">
        <v>51</v>
      </c>
      <c r="K192" s="274">
        <f t="shared" si="13"/>
        <v>186</v>
      </c>
      <c r="L192" s="237"/>
      <c r="M192" s="238"/>
      <c r="N192" s="239"/>
      <c r="O192" s="240"/>
      <c r="P192" s="225" t="str">
        <f t="shared" si="12"/>
        <v/>
      </c>
      <c r="Q192" s="172"/>
    </row>
    <row r="193">
      <c r="A193" s="226" t="s">
        <v>51</v>
      </c>
      <c r="B193" s="159"/>
      <c r="C193" s="178"/>
      <c r="D193" s="179"/>
      <c r="E193" s="268"/>
      <c r="F193" s="163"/>
      <c r="G193" s="269"/>
      <c r="H193" s="235"/>
      <c r="I193" s="155"/>
      <c r="J193" s="229" t="s">
        <v>51</v>
      </c>
      <c r="K193" s="274">
        <f t="shared" si="13"/>
        <v>187</v>
      </c>
      <c r="L193" s="237"/>
      <c r="M193" s="238"/>
      <c r="N193" s="239"/>
      <c r="O193" s="240"/>
      <c r="P193" s="225" t="str">
        <f t="shared" si="12"/>
        <v/>
      </c>
      <c r="Q193" s="172"/>
    </row>
    <row r="194">
      <c r="A194" s="226" t="s">
        <v>51</v>
      </c>
      <c r="B194" s="159"/>
      <c r="C194" s="178"/>
      <c r="D194" s="179"/>
      <c r="E194" s="268"/>
      <c r="F194" s="163"/>
      <c r="G194" s="269"/>
      <c r="H194" s="227"/>
      <c r="I194" s="155"/>
      <c r="J194" s="229" t="s">
        <v>51</v>
      </c>
      <c r="K194" s="274">
        <f t="shared" si="13"/>
        <v>188</v>
      </c>
      <c r="L194" s="237"/>
      <c r="M194" s="238"/>
      <c r="N194" s="239"/>
      <c r="O194" s="240"/>
      <c r="P194" s="225" t="str">
        <f t="shared" si="12"/>
        <v/>
      </c>
      <c r="Q194" s="172"/>
    </row>
    <row r="195">
      <c r="A195" s="226" t="s">
        <v>51</v>
      </c>
      <c r="B195" s="159"/>
      <c r="C195" s="178"/>
      <c r="D195" s="179"/>
      <c r="E195" s="268"/>
      <c r="F195" s="163"/>
      <c r="G195" s="163"/>
      <c r="H195" s="235"/>
      <c r="I195" s="155"/>
      <c r="J195" s="229" t="s">
        <v>51</v>
      </c>
      <c r="K195" s="278">
        <f t="shared" si="13"/>
        <v>189</v>
      </c>
      <c r="L195" s="243"/>
      <c r="M195" s="151"/>
      <c r="N195" s="244"/>
      <c r="O195" s="245"/>
      <c r="P195" s="225" t="str">
        <f t="shared" si="12"/>
        <v/>
      </c>
      <c r="Q195" s="172"/>
    </row>
    <row r="196">
      <c r="A196" s="226" t="s">
        <v>51</v>
      </c>
      <c r="B196" s="159"/>
      <c r="C196" s="178"/>
      <c r="D196" s="179"/>
      <c r="E196" s="268"/>
      <c r="F196" s="163"/>
      <c r="G196" s="163"/>
      <c r="H196" s="227"/>
      <c r="I196" s="155"/>
      <c r="J196" s="229" t="s">
        <v>51</v>
      </c>
      <c r="K196" s="278">
        <f t="shared" si="13"/>
        <v>190</v>
      </c>
      <c r="L196" s="243"/>
      <c r="M196" s="151"/>
      <c r="N196" s="244"/>
      <c r="O196" s="245"/>
      <c r="P196" s="225" t="str">
        <f t="shared" si="12"/>
        <v/>
      </c>
      <c r="Q196" s="172"/>
    </row>
    <row r="197">
      <c r="A197" s="226" t="s">
        <v>51</v>
      </c>
      <c r="B197" s="159"/>
      <c r="C197" s="178"/>
      <c r="D197" s="179"/>
      <c r="E197" s="268"/>
      <c r="F197" s="163"/>
      <c r="G197" s="163"/>
      <c r="H197" s="235"/>
      <c r="I197" s="155"/>
      <c r="J197" s="229" t="s">
        <v>51</v>
      </c>
      <c r="K197" s="278">
        <f t="shared" si="13"/>
        <v>191</v>
      </c>
      <c r="L197" s="243"/>
      <c r="M197" s="151"/>
      <c r="N197" s="244"/>
      <c r="O197" s="245"/>
      <c r="P197" s="225" t="str">
        <f t="shared" si="12"/>
        <v/>
      </c>
      <c r="Q197" s="172"/>
    </row>
    <row r="198">
      <c r="A198" s="226" t="s">
        <v>51</v>
      </c>
      <c r="B198" s="159"/>
      <c r="C198" s="178"/>
      <c r="D198" s="179"/>
      <c r="E198" s="268"/>
      <c r="F198" s="163"/>
      <c r="G198" s="163"/>
      <c r="H198" s="227"/>
      <c r="I198" s="155"/>
      <c r="J198" s="229" t="s">
        <v>51</v>
      </c>
      <c r="K198" s="278">
        <f t="shared" si="13"/>
        <v>192</v>
      </c>
      <c r="L198" s="243"/>
      <c r="M198" s="151"/>
      <c r="N198" s="244"/>
      <c r="O198" s="245"/>
      <c r="P198" s="225" t="str">
        <f t="shared" si="12"/>
        <v/>
      </c>
      <c r="Q198" s="172"/>
    </row>
    <row r="199">
      <c r="A199" s="226" t="s">
        <v>51</v>
      </c>
      <c r="B199" s="159"/>
      <c r="C199" s="178"/>
      <c r="D199" s="179"/>
      <c r="E199" s="268"/>
      <c r="F199" s="163"/>
      <c r="G199" s="163"/>
      <c r="H199" s="235"/>
      <c r="I199" s="155"/>
      <c r="J199" s="229" t="s">
        <v>51</v>
      </c>
      <c r="K199" s="278">
        <f t="shared" si="13"/>
        <v>193</v>
      </c>
      <c r="L199" s="243"/>
      <c r="M199" s="151"/>
      <c r="N199" s="244"/>
      <c r="O199" s="245"/>
      <c r="P199" s="225" t="str">
        <f t="shared" si="12"/>
        <v/>
      </c>
      <c r="Q199" s="172"/>
    </row>
    <row r="200">
      <c r="A200" s="226" t="s">
        <v>51</v>
      </c>
      <c r="B200" s="159"/>
      <c r="C200" s="178"/>
      <c r="D200" s="179"/>
      <c r="E200" s="268"/>
      <c r="F200" s="163"/>
      <c r="G200" s="163"/>
      <c r="H200" s="227"/>
      <c r="I200" s="155"/>
      <c r="J200" s="229" t="s">
        <v>51</v>
      </c>
      <c r="K200" s="278">
        <f t="shared" si="13"/>
        <v>194</v>
      </c>
      <c r="L200" s="243"/>
      <c r="M200" s="151"/>
      <c r="N200" s="244"/>
      <c r="O200" s="245"/>
      <c r="P200" s="225" t="str">
        <f t="shared" si="12"/>
        <v/>
      </c>
      <c r="Q200" s="172"/>
    </row>
    <row r="201">
      <c r="A201" s="226" t="s">
        <v>51</v>
      </c>
      <c r="B201" s="159"/>
      <c r="C201" s="178"/>
      <c r="D201" s="179"/>
      <c r="E201" s="268"/>
      <c r="F201" s="163"/>
      <c r="G201" s="163"/>
      <c r="H201" s="235"/>
      <c r="I201" s="155"/>
      <c r="J201" s="229" t="s">
        <v>51</v>
      </c>
      <c r="K201" s="278">
        <f t="shared" si="13"/>
        <v>195</v>
      </c>
      <c r="L201" s="243"/>
      <c r="M201" s="151"/>
      <c r="N201" s="244"/>
      <c r="O201" s="245"/>
      <c r="P201" s="225" t="str">
        <f t="shared" si="12"/>
        <v/>
      </c>
      <c r="Q201" s="173"/>
    </row>
    <row r="202">
      <c r="A202" s="226" t="s">
        <v>51</v>
      </c>
      <c r="B202" s="159"/>
      <c r="C202" s="178"/>
      <c r="D202" s="179"/>
      <c r="E202" s="268"/>
      <c r="F202" s="163"/>
      <c r="G202" s="163"/>
      <c r="H202" s="227"/>
      <c r="I202" s="155"/>
      <c r="J202" s="229" t="s">
        <v>51</v>
      </c>
      <c r="K202" s="278">
        <f t="shared" si="13"/>
        <v>196</v>
      </c>
      <c r="L202" s="243"/>
      <c r="M202" s="163"/>
      <c r="N202" s="223"/>
      <c r="O202" s="224"/>
      <c r="P202" s="225" t="str">
        <f t="shared" si="12"/>
        <v/>
      </c>
      <c r="Q202" s="173"/>
    </row>
    <row r="203">
      <c r="A203" s="226" t="s">
        <v>51</v>
      </c>
      <c r="B203" s="159"/>
      <c r="C203" s="178"/>
      <c r="D203" s="179"/>
      <c r="E203" s="268"/>
      <c r="F203" s="163"/>
      <c r="G203" s="163"/>
      <c r="H203" s="235"/>
      <c r="I203" s="155"/>
      <c r="J203" s="229" t="s">
        <v>51</v>
      </c>
      <c r="K203" s="278">
        <f t="shared" si="13"/>
        <v>197</v>
      </c>
      <c r="L203" s="243"/>
      <c r="M203" s="163"/>
      <c r="N203" s="223"/>
      <c r="O203" s="224"/>
      <c r="P203" s="225" t="str">
        <f t="shared" si="12"/>
        <v/>
      </c>
      <c r="Q203" s="173"/>
    </row>
    <row r="204">
      <c r="A204" s="226" t="s">
        <v>51</v>
      </c>
      <c r="B204" s="159"/>
      <c r="C204" s="178"/>
      <c r="D204" s="179"/>
      <c r="E204" s="268"/>
      <c r="F204" s="163"/>
      <c r="G204" s="163"/>
      <c r="H204" s="227"/>
      <c r="I204" s="155"/>
      <c r="J204" s="229" t="s">
        <v>51</v>
      </c>
      <c r="K204" s="278">
        <f t="shared" si="13"/>
        <v>198</v>
      </c>
      <c r="L204" s="243"/>
      <c r="M204" s="248"/>
      <c r="N204" s="223"/>
      <c r="O204" s="224"/>
      <c r="P204" s="225" t="str">
        <f t="shared" si="12"/>
        <v/>
      </c>
      <c r="Q204" s="173"/>
    </row>
    <row r="205">
      <c r="A205" s="226" t="s">
        <v>51</v>
      </c>
      <c r="B205" s="159"/>
      <c r="C205" s="178"/>
      <c r="D205" s="179"/>
      <c r="E205" s="268"/>
      <c r="F205" s="163"/>
      <c r="G205" s="163"/>
      <c r="H205" s="235"/>
      <c r="I205" s="155"/>
      <c r="J205" s="229" t="s">
        <v>51</v>
      </c>
      <c r="K205" s="278">
        <f t="shared" si="13"/>
        <v>199</v>
      </c>
      <c r="L205" s="243"/>
      <c r="M205" s="248"/>
      <c r="N205" s="223"/>
      <c r="O205" s="224"/>
      <c r="P205" s="225" t="str">
        <f t="shared" si="12"/>
        <v/>
      </c>
      <c r="Q205" s="173"/>
    </row>
    <row r="206">
      <c r="A206" s="226" t="s">
        <v>51</v>
      </c>
      <c r="B206" s="159"/>
      <c r="C206" s="178"/>
      <c r="D206" s="179"/>
      <c r="E206" s="268"/>
      <c r="F206" s="163"/>
      <c r="G206" s="163"/>
      <c r="H206" s="227"/>
      <c r="I206" s="155"/>
      <c r="J206" s="229" t="s">
        <v>51</v>
      </c>
      <c r="K206" s="278">
        <f t="shared" si="13"/>
        <v>200</v>
      </c>
      <c r="L206" s="243"/>
      <c r="M206" s="248"/>
      <c r="N206" s="223"/>
      <c r="O206" s="224"/>
      <c r="P206" s="225" t="str">
        <f t="shared" si="12"/>
        <v/>
      </c>
      <c r="Q206" s="173"/>
    </row>
    <row r="207">
      <c r="A207" s="226" t="s">
        <v>51</v>
      </c>
      <c r="B207" s="159"/>
      <c r="C207" s="178"/>
      <c r="D207" s="179"/>
      <c r="E207" s="268"/>
      <c r="F207" s="163"/>
      <c r="G207" s="163"/>
      <c r="H207" s="235"/>
      <c r="I207" s="155"/>
      <c r="J207" s="229" t="s">
        <v>51</v>
      </c>
      <c r="K207" s="278">
        <f t="shared" si="13"/>
        <v>201</v>
      </c>
      <c r="L207" s="243"/>
      <c r="M207" s="249"/>
      <c r="N207" s="244"/>
      <c r="O207" s="245"/>
      <c r="P207" s="225" t="str">
        <f t="shared" si="12"/>
        <v/>
      </c>
      <c r="Q207" s="173"/>
    </row>
    <row r="208">
      <c r="A208" s="226" t="s">
        <v>51</v>
      </c>
      <c r="B208" s="159"/>
      <c r="C208" s="178"/>
      <c r="D208" s="179"/>
      <c r="E208" s="268"/>
      <c r="F208" s="163"/>
      <c r="G208" s="163"/>
      <c r="H208" s="227"/>
      <c r="I208" s="155"/>
      <c r="J208" s="229" t="s">
        <v>51</v>
      </c>
      <c r="K208" s="278">
        <f t="shared" si="13"/>
        <v>202</v>
      </c>
      <c r="L208" s="243"/>
      <c r="M208" s="249"/>
      <c r="N208" s="244"/>
      <c r="O208" s="245"/>
      <c r="P208" s="225" t="str">
        <f t="shared" si="12"/>
        <v/>
      </c>
      <c r="Q208" s="173"/>
    </row>
    <row r="209">
      <c r="A209" s="226" t="s">
        <v>51</v>
      </c>
      <c r="B209" s="159"/>
      <c r="C209" s="178"/>
      <c r="D209" s="179"/>
      <c r="E209" s="268"/>
      <c r="F209" s="163"/>
      <c r="G209" s="163"/>
      <c r="H209" s="235"/>
      <c r="I209" s="155"/>
      <c r="J209" s="229" t="s">
        <v>51</v>
      </c>
      <c r="K209" s="278">
        <f t="shared" si="13"/>
        <v>203</v>
      </c>
      <c r="L209" s="243"/>
      <c r="M209" s="249"/>
      <c r="N209" s="244"/>
      <c r="O209" s="245"/>
      <c r="P209" s="225" t="str">
        <f t="shared" si="12"/>
        <v/>
      </c>
      <c r="Q209" s="173"/>
    </row>
    <row r="210">
      <c r="A210" s="226" t="s">
        <v>51</v>
      </c>
      <c r="B210" s="159"/>
      <c r="C210" s="178"/>
      <c r="D210" s="179"/>
      <c r="E210" s="268"/>
      <c r="F210" s="163"/>
      <c r="G210" s="163"/>
      <c r="H210" s="227"/>
      <c r="I210" s="155"/>
      <c r="J210" s="229" t="s">
        <v>51</v>
      </c>
      <c r="K210" s="278">
        <f t="shared" si="13"/>
        <v>204</v>
      </c>
      <c r="L210" s="243"/>
      <c r="M210" s="248"/>
      <c r="N210" s="244"/>
      <c r="O210" s="224"/>
      <c r="P210" s="225" t="str">
        <f t="shared" si="12"/>
        <v/>
      </c>
      <c r="Q210" s="173"/>
    </row>
    <row r="211">
      <c r="A211" s="250" t="s">
        <v>51</v>
      </c>
      <c r="B211" s="193"/>
      <c r="C211" s="194"/>
      <c r="D211" s="195"/>
      <c r="E211" s="270"/>
      <c r="F211" s="197"/>
      <c r="G211" s="197"/>
      <c r="H211" s="251"/>
      <c r="I211" s="155"/>
      <c r="J211" s="252" t="s">
        <v>51</v>
      </c>
      <c r="K211" s="279">
        <f t="shared" si="13"/>
        <v>205</v>
      </c>
      <c r="L211" s="253"/>
      <c r="M211" s="254"/>
      <c r="N211" s="255"/>
      <c r="O211" s="256"/>
      <c r="P211" s="225" t="str">
        <f t="shared" si="12"/>
        <v/>
      </c>
      <c r="Q211" s="258"/>
    </row>
    <row r="212">
      <c r="B212" s="198"/>
      <c r="C212" s="199"/>
      <c r="D212" s="200"/>
      <c r="E212" s="272"/>
      <c r="F212" s="141"/>
      <c r="G212" s="141"/>
      <c r="H212" s="155"/>
      <c r="I212" s="155"/>
      <c r="K212" s="259"/>
      <c r="L212" s="155"/>
      <c r="N212" s="177"/>
      <c r="O212" s="273"/>
      <c r="P212" s="280"/>
    </row>
    <row r="213">
      <c r="A213" s="215" t="s">
        <v>52</v>
      </c>
      <c r="B213" s="187" t="s">
        <v>97</v>
      </c>
      <c r="C213" s="188">
        <v>43998.0</v>
      </c>
      <c r="D213" s="189" t="s">
        <v>258</v>
      </c>
      <c r="E213" s="282">
        <v>1.1</v>
      </c>
      <c r="F213" s="153" t="s">
        <v>26</v>
      </c>
      <c r="G213" s="153" t="s">
        <v>27</v>
      </c>
      <c r="H213" s="217"/>
      <c r="I213" s="155"/>
      <c r="J213" s="219" t="s">
        <v>52</v>
      </c>
      <c r="K213" s="262">
        <f>K211+1</f>
        <v>206</v>
      </c>
      <c r="L213" s="263">
        <v>44008.0</v>
      </c>
      <c r="M213" s="264" t="s">
        <v>270</v>
      </c>
      <c r="N213" s="265">
        <v>228.0</v>
      </c>
      <c r="O213" s="266">
        <v>1.0</v>
      </c>
      <c r="P213" s="225">
        <f t="shared" ref="P213:P253" si="14">iferror($N213/$O213,"")</f>
        <v>228</v>
      </c>
      <c r="Q213" s="191" t="s">
        <v>14</v>
      </c>
    </row>
    <row r="214">
      <c r="A214" s="226" t="s">
        <v>52</v>
      </c>
      <c r="B214" s="159" t="s">
        <v>97</v>
      </c>
      <c r="C214" s="178">
        <v>43998.0</v>
      </c>
      <c r="D214" s="179" t="s">
        <v>271</v>
      </c>
      <c r="E214" s="283">
        <v>90.0</v>
      </c>
      <c r="F214" s="163" t="s">
        <v>26</v>
      </c>
      <c r="G214" s="163" t="s">
        <v>27</v>
      </c>
      <c r="H214" s="227"/>
      <c r="I214" s="155"/>
      <c r="J214" s="229" t="s">
        <v>52</v>
      </c>
      <c r="K214" s="230">
        <f t="shared" ref="K214:K253" si="15">K213+1</f>
        <v>207</v>
      </c>
      <c r="L214" s="231">
        <v>43993.0</v>
      </c>
      <c r="M214" s="232" t="s">
        <v>272</v>
      </c>
      <c r="N214" s="233">
        <v>52.5</v>
      </c>
      <c r="O214" s="234">
        <v>1.0</v>
      </c>
      <c r="P214" s="225">
        <f t="shared" si="14"/>
        <v>52.5</v>
      </c>
      <c r="Q214" s="172" t="s">
        <v>14</v>
      </c>
    </row>
    <row r="215">
      <c r="A215" s="226" t="s">
        <v>52</v>
      </c>
      <c r="B215" s="159" t="s">
        <v>111</v>
      </c>
      <c r="C215" s="178">
        <v>44009.0</v>
      </c>
      <c r="D215" s="179" t="s">
        <v>273</v>
      </c>
      <c r="E215" s="283">
        <v>79.0</v>
      </c>
      <c r="F215" s="163" t="s">
        <v>14</v>
      </c>
      <c r="G215" s="163" t="s">
        <v>16</v>
      </c>
      <c r="H215" s="235"/>
      <c r="I215" s="155"/>
      <c r="J215" s="229" t="s">
        <v>52</v>
      </c>
      <c r="K215" s="230">
        <f t="shared" si="15"/>
        <v>208</v>
      </c>
      <c r="L215" s="231">
        <v>44009.0</v>
      </c>
      <c r="M215" s="232" t="s">
        <v>274</v>
      </c>
      <c r="N215" s="233">
        <v>161.9</v>
      </c>
      <c r="O215" s="234">
        <v>1.0</v>
      </c>
      <c r="P215" s="225">
        <f t="shared" si="14"/>
        <v>161.9</v>
      </c>
      <c r="Q215" s="172" t="s">
        <v>14</v>
      </c>
    </row>
    <row r="216">
      <c r="A216" s="226" t="s">
        <v>52</v>
      </c>
      <c r="B216" s="159" t="s">
        <v>107</v>
      </c>
      <c r="C216" s="178">
        <v>43992.0</v>
      </c>
      <c r="D216" s="179" t="s">
        <v>275</v>
      </c>
      <c r="E216" s="283">
        <v>107.19</v>
      </c>
      <c r="F216" s="163" t="s">
        <v>14</v>
      </c>
      <c r="G216" s="163" t="s">
        <v>16</v>
      </c>
      <c r="H216" s="247" t="s">
        <v>17</v>
      </c>
      <c r="I216" s="155"/>
      <c r="J216" s="229" t="s">
        <v>52</v>
      </c>
      <c r="K216" s="230">
        <f t="shared" si="15"/>
        <v>209</v>
      </c>
      <c r="L216" s="231"/>
      <c r="M216" s="232"/>
      <c r="N216" s="233"/>
      <c r="O216" s="234"/>
      <c r="P216" s="225" t="str">
        <f t="shared" si="14"/>
        <v/>
      </c>
      <c r="Q216" s="172"/>
    </row>
    <row r="217">
      <c r="A217" s="226" t="s">
        <v>52</v>
      </c>
      <c r="B217" s="159"/>
      <c r="C217" s="178"/>
      <c r="D217" s="179"/>
      <c r="E217" s="268"/>
      <c r="F217" s="163"/>
      <c r="G217" s="163"/>
      <c r="H217" s="235"/>
      <c r="I217" s="155"/>
      <c r="J217" s="229" t="s">
        <v>52</v>
      </c>
      <c r="K217" s="274">
        <f t="shared" si="15"/>
        <v>210</v>
      </c>
      <c r="L217" s="237"/>
      <c r="M217" s="238"/>
      <c r="N217" s="239"/>
      <c r="O217" s="240"/>
      <c r="P217" s="225" t="str">
        <f t="shared" si="14"/>
        <v/>
      </c>
      <c r="Q217" s="172"/>
    </row>
    <row r="218">
      <c r="A218" s="226" t="s">
        <v>52</v>
      </c>
      <c r="B218" s="159"/>
      <c r="C218" s="178"/>
      <c r="D218" s="179"/>
      <c r="E218" s="268"/>
      <c r="F218" s="163"/>
      <c r="G218" s="163"/>
      <c r="H218" s="227"/>
      <c r="I218" s="155"/>
      <c r="J218" s="229" t="s">
        <v>52</v>
      </c>
      <c r="K218" s="274">
        <f t="shared" si="15"/>
        <v>211</v>
      </c>
      <c r="L218" s="237"/>
      <c r="M218" s="238"/>
      <c r="N218" s="239"/>
      <c r="O218" s="240"/>
      <c r="P218" s="225" t="str">
        <f t="shared" si="14"/>
        <v/>
      </c>
      <c r="Q218" s="172"/>
    </row>
    <row r="219">
      <c r="A219" s="226" t="s">
        <v>52</v>
      </c>
      <c r="B219" s="159"/>
      <c r="C219" s="178"/>
      <c r="D219" s="179"/>
      <c r="E219" s="268"/>
      <c r="F219" s="163"/>
      <c r="G219" s="269"/>
      <c r="H219" s="235"/>
      <c r="I219" s="155"/>
      <c r="J219" s="229" t="s">
        <v>52</v>
      </c>
      <c r="K219" s="274">
        <f t="shared" si="15"/>
        <v>212</v>
      </c>
      <c r="L219" s="237"/>
      <c r="M219" s="238"/>
      <c r="N219" s="239"/>
      <c r="O219" s="240"/>
      <c r="P219" s="225" t="str">
        <f t="shared" si="14"/>
        <v/>
      </c>
      <c r="Q219" s="172"/>
    </row>
    <row r="220">
      <c r="A220" s="226" t="s">
        <v>52</v>
      </c>
      <c r="B220" s="159"/>
      <c r="C220" s="178"/>
      <c r="D220" s="179"/>
      <c r="E220" s="268"/>
      <c r="F220" s="163"/>
      <c r="G220" s="269"/>
      <c r="H220" s="227"/>
      <c r="I220" s="155"/>
      <c r="J220" s="229" t="s">
        <v>52</v>
      </c>
      <c r="K220" s="274">
        <f t="shared" si="15"/>
        <v>213</v>
      </c>
      <c r="L220" s="237"/>
      <c r="M220" s="238"/>
      <c r="N220" s="239"/>
      <c r="O220" s="240"/>
      <c r="P220" s="225" t="str">
        <f t="shared" si="14"/>
        <v/>
      </c>
      <c r="Q220" s="172"/>
    </row>
    <row r="221">
      <c r="A221" s="226" t="s">
        <v>52</v>
      </c>
      <c r="B221" s="159"/>
      <c r="C221" s="178"/>
      <c r="D221" s="179"/>
      <c r="E221" s="268"/>
      <c r="F221" s="163"/>
      <c r="G221" s="269"/>
      <c r="H221" s="281"/>
      <c r="J221" s="229" t="s">
        <v>52</v>
      </c>
      <c r="K221" s="274">
        <f t="shared" si="15"/>
        <v>214</v>
      </c>
      <c r="L221" s="237"/>
      <c r="M221" s="238"/>
      <c r="N221" s="239"/>
      <c r="O221" s="240"/>
      <c r="P221" s="225" t="str">
        <f t="shared" si="14"/>
        <v/>
      </c>
      <c r="Q221" s="172"/>
    </row>
    <row r="222">
      <c r="A222" s="226" t="s">
        <v>52</v>
      </c>
      <c r="B222" s="159"/>
      <c r="C222" s="178"/>
      <c r="D222" s="179"/>
      <c r="E222" s="268"/>
      <c r="F222" s="163"/>
      <c r="G222" s="269"/>
      <c r="H222" s="247"/>
      <c r="J222" s="229" t="s">
        <v>52</v>
      </c>
      <c r="K222" s="274">
        <f t="shared" si="15"/>
        <v>215</v>
      </c>
      <c r="L222" s="237"/>
      <c r="M222" s="238"/>
      <c r="N222" s="239"/>
      <c r="O222" s="240"/>
      <c r="P222" s="225" t="str">
        <f t="shared" si="14"/>
        <v/>
      </c>
      <c r="Q222" s="172"/>
    </row>
    <row r="223">
      <c r="A223" s="226" t="s">
        <v>52</v>
      </c>
      <c r="B223" s="159"/>
      <c r="C223" s="178"/>
      <c r="D223" s="179"/>
      <c r="E223" s="268"/>
      <c r="F223" s="163"/>
      <c r="G223" s="269"/>
      <c r="H223" s="235"/>
      <c r="J223" s="229" t="s">
        <v>52</v>
      </c>
      <c r="K223" s="274">
        <f t="shared" si="15"/>
        <v>216</v>
      </c>
      <c r="L223" s="237"/>
      <c r="M223" s="238"/>
      <c r="N223" s="239"/>
      <c r="O223" s="240"/>
      <c r="P223" s="225" t="str">
        <f t="shared" si="14"/>
        <v/>
      </c>
      <c r="Q223" s="172"/>
    </row>
    <row r="224">
      <c r="A224" s="226" t="s">
        <v>52</v>
      </c>
      <c r="B224" s="159"/>
      <c r="C224" s="178"/>
      <c r="D224" s="179"/>
      <c r="E224" s="268"/>
      <c r="F224" s="163"/>
      <c r="G224" s="269"/>
      <c r="H224" s="227"/>
      <c r="J224" s="229" t="s">
        <v>52</v>
      </c>
      <c r="K224" s="274">
        <f t="shared" si="15"/>
        <v>217</v>
      </c>
      <c r="L224" s="237"/>
      <c r="M224" s="238"/>
      <c r="N224" s="239"/>
      <c r="O224" s="240"/>
      <c r="P224" s="225" t="str">
        <f t="shared" si="14"/>
        <v/>
      </c>
      <c r="Q224" s="172"/>
    </row>
    <row r="225">
      <c r="A225" s="226" t="s">
        <v>52</v>
      </c>
      <c r="B225" s="159"/>
      <c r="C225" s="178"/>
      <c r="D225" s="179"/>
      <c r="E225" s="268"/>
      <c r="F225" s="163"/>
      <c r="G225" s="269"/>
      <c r="H225" s="235"/>
      <c r="J225" s="229" t="s">
        <v>52</v>
      </c>
      <c r="K225" s="274">
        <f t="shared" si="15"/>
        <v>218</v>
      </c>
      <c r="L225" s="237"/>
      <c r="M225" s="238"/>
      <c r="N225" s="239"/>
      <c r="O225" s="240"/>
      <c r="P225" s="225" t="str">
        <f t="shared" si="14"/>
        <v/>
      </c>
      <c r="Q225" s="172"/>
    </row>
    <row r="226">
      <c r="A226" s="226" t="s">
        <v>52</v>
      </c>
      <c r="B226" s="159"/>
      <c r="C226" s="178"/>
      <c r="D226" s="179"/>
      <c r="E226" s="268"/>
      <c r="F226" s="163"/>
      <c r="G226" s="269"/>
      <c r="H226" s="227"/>
      <c r="J226" s="229" t="s">
        <v>52</v>
      </c>
      <c r="K226" s="274">
        <f t="shared" si="15"/>
        <v>219</v>
      </c>
      <c r="L226" s="237"/>
      <c r="M226" s="238"/>
      <c r="N226" s="239"/>
      <c r="O226" s="240"/>
      <c r="P226" s="225" t="str">
        <f t="shared" si="14"/>
        <v/>
      </c>
      <c r="Q226" s="172"/>
    </row>
    <row r="227">
      <c r="A227" s="226" t="s">
        <v>52</v>
      </c>
      <c r="B227" s="159"/>
      <c r="C227" s="178"/>
      <c r="D227" s="179"/>
      <c r="E227" s="268"/>
      <c r="F227" s="163"/>
      <c r="G227" s="269"/>
      <c r="H227" s="235"/>
      <c r="J227" s="229" t="s">
        <v>52</v>
      </c>
      <c r="K227" s="274">
        <f t="shared" si="15"/>
        <v>220</v>
      </c>
      <c r="L227" s="237"/>
      <c r="M227" s="238"/>
      <c r="N227" s="239"/>
      <c r="O227" s="240"/>
      <c r="P227" s="225" t="str">
        <f t="shared" si="14"/>
        <v/>
      </c>
      <c r="Q227" s="172"/>
    </row>
    <row r="228">
      <c r="A228" s="226" t="s">
        <v>52</v>
      </c>
      <c r="B228" s="159"/>
      <c r="C228" s="178"/>
      <c r="D228" s="179"/>
      <c r="E228" s="268"/>
      <c r="F228" s="163"/>
      <c r="G228" s="269"/>
      <c r="H228" s="227"/>
      <c r="J228" s="229" t="s">
        <v>52</v>
      </c>
      <c r="K228" s="274">
        <f t="shared" si="15"/>
        <v>221</v>
      </c>
      <c r="L228" s="237"/>
      <c r="M228" s="238"/>
      <c r="N228" s="239"/>
      <c r="O228" s="240"/>
      <c r="P228" s="225" t="str">
        <f t="shared" si="14"/>
        <v/>
      </c>
      <c r="Q228" s="172"/>
    </row>
    <row r="229">
      <c r="A229" s="226" t="s">
        <v>52</v>
      </c>
      <c r="B229" s="159"/>
      <c r="C229" s="178"/>
      <c r="D229" s="179"/>
      <c r="E229" s="268"/>
      <c r="F229" s="163"/>
      <c r="G229" s="269"/>
      <c r="H229" s="235"/>
      <c r="J229" s="229" t="s">
        <v>52</v>
      </c>
      <c r="K229" s="274">
        <f t="shared" si="15"/>
        <v>222</v>
      </c>
      <c r="L229" s="237"/>
      <c r="M229" s="238"/>
      <c r="N229" s="239"/>
      <c r="O229" s="240"/>
      <c r="P229" s="225" t="str">
        <f t="shared" si="14"/>
        <v/>
      </c>
      <c r="Q229" s="172"/>
    </row>
    <row r="230">
      <c r="A230" s="226" t="s">
        <v>52</v>
      </c>
      <c r="B230" s="159"/>
      <c r="C230" s="178"/>
      <c r="D230" s="179"/>
      <c r="E230" s="268"/>
      <c r="F230" s="163"/>
      <c r="G230" s="269"/>
      <c r="H230" s="227"/>
      <c r="J230" s="229" t="s">
        <v>52</v>
      </c>
      <c r="K230" s="274">
        <f t="shared" si="15"/>
        <v>223</v>
      </c>
      <c r="L230" s="237"/>
      <c r="M230" s="238"/>
      <c r="N230" s="239"/>
      <c r="O230" s="240"/>
      <c r="P230" s="225" t="str">
        <f t="shared" si="14"/>
        <v/>
      </c>
      <c r="Q230" s="172"/>
    </row>
    <row r="231">
      <c r="A231" s="226" t="s">
        <v>52</v>
      </c>
      <c r="B231" s="159"/>
      <c r="C231" s="178"/>
      <c r="D231" s="179"/>
      <c r="E231" s="268"/>
      <c r="F231" s="163"/>
      <c r="G231" s="269"/>
      <c r="H231" s="235"/>
      <c r="J231" s="229" t="s">
        <v>52</v>
      </c>
      <c r="K231" s="274">
        <f t="shared" si="15"/>
        <v>224</v>
      </c>
      <c r="L231" s="237"/>
      <c r="M231" s="238"/>
      <c r="N231" s="239"/>
      <c r="O231" s="240"/>
      <c r="P231" s="225" t="str">
        <f t="shared" si="14"/>
        <v/>
      </c>
      <c r="Q231" s="172"/>
    </row>
    <row r="232">
      <c r="A232" s="226" t="s">
        <v>52</v>
      </c>
      <c r="B232" s="159"/>
      <c r="C232" s="178"/>
      <c r="D232" s="179"/>
      <c r="E232" s="268"/>
      <c r="F232" s="163"/>
      <c r="G232" s="269"/>
      <c r="H232" s="227"/>
      <c r="J232" s="229" t="s">
        <v>52</v>
      </c>
      <c r="K232" s="274">
        <f t="shared" si="15"/>
        <v>225</v>
      </c>
      <c r="L232" s="237"/>
      <c r="M232" s="238"/>
      <c r="N232" s="239"/>
      <c r="O232" s="240"/>
      <c r="P232" s="225" t="str">
        <f t="shared" si="14"/>
        <v/>
      </c>
      <c r="Q232" s="172"/>
    </row>
    <row r="233">
      <c r="A233" s="226" t="s">
        <v>52</v>
      </c>
      <c r="B233" s="159"/>
      <c r="C233" s="178"/>
      <c r="D233" s="179"/>
      <c r="E233" s="268"/>
      <c r="F233" s="163"/>
      <c r="G233" s="269"/>
      <c r="H233" s="235"/>
      <c r="J233" s="229" t="s">
        <v>52</v>
      </c>
      <c r="K233" s="274">
        <f t="shared" si="15"/>
        <v>226</v>
      </c>
      <c r="L233" s="237"/>
      <c r="M233" s="238"/>
      <c r="N233" s="239"/>
      <c r="O233" s="240"/>
      <c r="P233" s="225" t="str">
        <f t="shared" si="14"/>
        <v/>
      </c>
      <c r="Q233" s="172"/>
    </row>
    <row r="234">
      <c r="A234" s="226" t="s">
        <v>52</v>
      </c>
      <c r="B234" s="159"/>
      <c r="C234" s="178"/>
      <c r="D234" s="179"/>
      <c r="E234" s="268"/>
      <c r="F234" s="163"/>
      <c r="G234" s="269"/>
      <c r="H234" s="227"/>
      <c r="J234" s="229" t="s">
        <v>52</v>
      </c>
      <c r="K234" s="274">
        <f t="shared" si="15"/>
        <v>227</v>
      </c>
      <c r="L234" s="237"/>
      <c r="M234" s="238"/>
      <c r="N234" s="239"/>
      <c r="O234" s="240"/>
      <c r="P234" s="225" t="str">
        <f t="shared" si="14"/>
        <v/>
      </c>
      <c r="Q234" s="172"/>
    </row>
    <row r="235">
      <c r="A235" s="226" t="s">
        <v>52</v>
      </c>
      <c r="B235" s="159"/>
      <c r="C235" s="178"/>
      <c r="D235" s="179"/>
      <c r="E235" s="268"/>
      <c r="F235" s="163"/>
      <c r="G235" s="269"/>
      <c r="H235" s="235"/>
      <c r="J235" s="229" t="s">
        <v>52</v>
      </c>
      <c r="K235" s="274">
        <f t="shared" si="15"/>
        <v>228</v>
      </c>
      <c r="L235" s="237"/>
      <c r="M235" s="238"/>
      <c r="N235" s="239"/>
      <c r="O235" s="240"/>
      <c r="P235" s="225" t="str">
        <f t="shared" si="14"/>
        <v/>
      </c>
      <c r="Q235" s="172"/>
    </row>
    <row r="236">
      <c r="A236" s="226" t="s">
        <v>52</v>
      </c>
      <c r="B236" s="159"/>
      <c r="C236" s="178"/>
      <c r="D236" s="179"/>
      <c r="E236" s="268"/>
      <c r="F236" s="163"/>
      <c r="G236" s="269"/>
      <c r="H236" s="227"/>
      <c r="J236" s="229" t="s">
        <v>52</v>
      </c>
      <c r="K236" s="274">
        <f t="shared" si="15"/>
        <v>229</v>
      </c>
      <c r="L236" s="237"/>
      <c r="M236" s="238"/>
      <c r="N236" s="239"/>
      <c r="O236" s="240"/>
      <c r="P236" s="225" t="str">
        <f t="shared" si="14"/>
        <v/>
      </c>
      <c r="Q236" s="172"/>
    </row>
    <row r="237">
      <c r="A237" s="226" t="s">
        <v>52</v>
      </c>
      <c r="B237" s="159"/>
      <c r="C237" s="178"/>
      <c r="D237" s="179"/>
      <c r="E237" s="268"/>
      <c r="F237" s="163"/>
      <c r="G237" s="163"/>
      <c r="H237" s="235"/>
      <c r="J237" s="229" t="s">
        <v>52</v>
      </c>
      <c r="K237" s="278">
        <f t="shared" si="15"/>
        <v>230</v>
      </c>
      <c r="L237" s="243"/>
      <c r="M237" s="151"/>
      <c r="N237" s="244"/>
      <c r="O237" s="245"/>
      <c r="P237" s="225" t="str">
        <f t="shared" si="14"/>
        <v/>
      </c>
      <c r="Q237" s="172"/>
    </row>
    <row r="238">
      <c r="A238" s="226" t="s">
        <v>52</v>
      </c>
      <c r="B238" s="159"/>
      <c r="C238" s="178"/>
      <c r="D238" s="179"/>
      <c r="E238" s="268"/>
      <c r="F238" s="163"/>
      <c r="G238" s="163"/>
      <c r="H238" s="227"/>
      <c r="J238" s="229" t="s">
        <v>52</v>
      </c>
      <c r="K238" s="278">
        <f t="shared" si="15"/>
        <v>231</v>
      </c>
      <c r="L238" s="243"/>
      <c r="M238" s="151"/>
      <c r="N238" s="244"/>
      <c r="O238" s="245"/>
      <c r="P238" s="225" t="str">
        <f t="shared" si="14"/>
        <v/>
      </c>
      <c r="Q238" s="172"/>
    </row>
    <row r="239">
      <c r="A239" s="226" t="s">
        <v>52</v>
      </c>
      <c r="B239" s="159"/>
      <c r="C239" s="178"/>
      <c r="D239" s="179"/>
      <c r="E239" s="268"/>
      <c r="F239" s="163"/>
      <c r="G239" s="163"/>
      <c r="H239" s="235"/>
      <c r="J239" s="229" t="s">
        <v>52</v>
      </c>
      <c r="K239" s="278">
        <f t="shared" si="15"/>
        <v>232</v>
      </c>
      <c r="L239" s="243"/>
      <c r="M239" s="151"/>
      <c r="N239" s="244"/>
      <c r="O239" s="245"/>
      <c r="P239" s="225" t="str">
        <f t="shared" si="14"/>
        <v/>
      </c>
      <c r="Q239" s="172"/>
    </row>
    <row r="240">
      <c r="A240" s="226" t="s">
        <v>52</v>
      </c>
      <c r="B240" s="159"/>
      <c r="C240" s="178"/>
      <c r="D240" s="179"/>
      <c r="E240" s="268"/>
      <c r="F240" s="163"/>
      <c r="G240" s="163"/>
      <c r="H240" s="227"/>
      <c r="J240" s="229" t="s">
        <v>52</v>
      </c>
      <c r="K240" s="278">
        <f t="shared" si="15"/>
        <v>233</v>
      </c>
      <c r="L240" s="243"/>
      <c r="M240" s="151"/>
      <c r="N240" s="244"/>
      <c r="O240" s="245"/>
      <c r="P240" s="225" t="str">
        <f t="shared" si="14"/>
        <v/>
      </c>
      <c r="Q240" s="172"/>
    </row>
    <row r="241">
      <c r="A241" s="226" t="s">
        <v>52</v>
      </c>
      <c r="B241" s="159"/>
      <c r="C241" s="178"/>
      <c r="D241" s="179"/>
      <c r="E241" s="268"/>
      <c r="F241" s="163"/>
      <c r="G241" s="163"/>
      <c r="H241" s="235"/>
      <c r="J241" s="229" t="s">
        <v>52</v>
      </c>
      <c r="K241" s="278">
        <f t="shared" si="15"/>
        <v>234</v>
      </c>
      <c r="L241" s="243"/>
      <c r="M241" s="151"/>
      <c r="N241" s="244"/>
      <c r="O241" s="245"/>
      <c r="P241" s="225" t="str">
        <f t="shared" si="14"/>
        <v/>
      </c>
      <c r="Q241" s="172"/>
    </row>
    <row r="242">
      <c r="A242" s="226" t="s">
        <v>52</v>
      </c>
      <c r="B242" s="159"/>
      <c r="C242" s="178"/>
      <c r="D242" s="179"/>
      <c r="E242" s="268"/>
      <c r="F242" s="163"/>
      <c r="G242" s="163"/>
      <c r="H242" s="227"/>
      <c r="J242" s="229" t="s">
        <v>52</v>
      </c>
      <c r="K242" s="278">
        <f t="shared" si="15"/>
        <v>235</v>
      </c>
      <c r="L242" s="243"/>
      <c r="M242" s="151"/>
      <c r="N242" s="244"/>
      <c r="O242" s="245"/>
      <c r="P242" s="225" t="str">
        <f t="shared" si="14"/>
        <v/>
      </c>
      <c r="Q242" s="172"/>
    </row>
    <row r="243">
      <c r="A243" s="226" t="s">
        <v>52</v>
      </c>
      <c r="B243" s="159"/>
      <c r="C243" s="178"/>
      <c r="D243" s="179"/>
      <c r="E243" s="268"/>
      <c r="F243" s="163"/>
      <c r="G243" s="163"/>
      <c r="H243" s="235"/>
      <c r="J243" s="229" t="s">
        <v>52</v>
      </c>
      <c r="K243" s="278">
        <f t="shared" si="15"/>
        <v>236</v>
      </c>
      <c r="L243" s="243"/>
      <c r="M243" s="151"/>
      <c r="N243" s="244"/>
      <c r="O243" s="245"/>
      <c r="P243" s="225" t="str">
        <f t="shared" si="14"/>
        <v/>
      </c>
      <c r="Q243" s="173"/>
    </row>
    <row r="244">
      <c r="A244" s="226" t="s">
        <v>52</v>
      </c>
      <c r="B244" s="159"/>
      <c r="C244" s="178"/>
      <c r="D244" s="179"/>
      <c r="E244" s="268"/>
      <c r="F244" s="163"/>
      <c r="G244" s="163"/>
      <c r="H244" s="227"/>
      <c r="J244" s="229" t="s">
        <v>52</v>
      </c>
      <c r="K244" s="278">
        <f t="shared" si="15"/>
        <v>237</v>
      </c>
      <c r="L244" s="243"/>
      <c r="M244" s="163"/>
      <c r="N244" s="223"/>
      <c r="O244" s="224"/>
      <c r="P244" s="225" t="str">
        <f t="shared" si="14"/>
        <v/>
      </c>
      <c r="Q244" s="173"/>
    </row>
    <row r="245">
      <c r="A245" s="226" t="s">
        <v>52</v>
      </c>
      <c r="B245" s="159"/>
      <c r="C245" s="178"/>
      <c r="D245" s="179"/>
      <c r="E245" s="268"/>
      <c r="F245" s="163"/>
      <c r="G245" s="163"/>
      <c r="H245" s="235"/>
      <c r="J245" s="229" t="s">
        <v>52</v>
      </c>
      <c r="K245" s="278">
        <f t="shared" si="15"/>
        <v>238</v>
      </c>
      <c r="L245" s="243"/>
      <c r="M245" s="163"/>
      <c r="N245" s="223"/>
      <c r="O245" s="224"/>
      <c r="P245" s="225" t="str">
        <f t="shared" si="14"/>
        <v/>
      </c>
      <c r="Q245" s="173"/>
    </row>
    <row r="246">
      <c r="A246" s="226" t="s">
        <v>52</v>
      </c>
      <c r="B246" s="159"/>
      <c r="C246" s="178"/>
      <c r="D246" s="179"/>
      <c r="E246" s="268"/>
      <c r="F246" s="163"/>
      <c r="G246" s="163"/>
      <c r="H246" s="227"/>
      <c r="J246" s="229" t="s">
        <v>52</v>
      </c>
      <c r="K246" s="278">
        <f t="shared" si="15"/>
        <v>239</v>
      </c>
      <c r="L246" s="243"/>
      <c r="M246" s="248"/>
      <c r="N246" s="223"/>
      <c r="O246" s="224"/>
      <c r="P246" s="225" t="str">
        <f t="shared" si="14"/>
        <v/>
      </c>
      <c r="Q246" s="173"/>
    </row>
    <row r="247">
      <c r="A247" s="226" t="s">
        <v>52</v>
      </c>
      <c r="B247" s="159"/>
      <c r="C247" s="178"/>
      <c r="D247" s="179"/>
      <c r="E247" s="268"/>
      <c r="F247" s="163"/>
      <c r="G247" s="163"/>
      <c r="H247" s="235"/>
      <c r="J247" s="229" t="s">
        <v>52</v>
      </c>
      <c r="K247" s="278">
        <f t="shared" si="15"/>
        <v>240</v>
      </c>
      <c r="L247" s="243"/>
      <c r="M247" s="248"/>
      <c r="N247" s="223"/>
      <c r="O247" s="224"/>
      <c r="P247" s="225" t="str">
        <f t="shared" si="14"/>
        <v/>
      </c>
      <c r="Q247" s="173"/>
    </row>
    <row r="248">
      <c r="A248" s="226" t="s">
        <v>52</v>
      </c>
      <c r="B248" s="159"/>
      <c r="C248" s="178"/>
      <c r="D248" s="179"/>
      <c r="E248" s="268"/>
      <c r="F248" s="163"/>
      <c r="G248" s="163"/>
      <c r="H248" s="227"/>
      <c r="J248" s="229" t="s">
        <v>52</v>
      </c>
      <c r="K248" s="278">
        <f t="shared" si="15"/>
        <v>241</v>
      </c>
      <c r="L248" s="243"/>
      <c r="M248" s="248"/>
      <c r="N248" s="223"/>
      <c r="O248" s="224"/>
      <c r="P248" s="225" t="str">
        <f t="shared" si="14"/>
        <v/>
      </c>
      <c r="Q248" s="173"/>
    </row>
    <row r="249">
      <c r="A249" s="226" t="s">
        <v>52</v>
      </c>
      <c r="B249" s="159"/>
      <c r="C249" s="178"/>
      <c r="D249" s="179"/>
      <c r="E249" s="268"/>
      <c r="F249" s="163"/>
      <c r="G249" s="163"/>
      <c r="H249" s="235"/>
      <c r="J249" s="229" t="s">
        <v>52</v>
      </c>
      <c r="K249" s="278">
        <f t="shared" si="15"/>
        <v>242</v>
      </c>
      <c r="L249" s="243"/>
      <c r="M249" s="249"/>
      <c r="N249" s="244"/>
      <c r="O249" s="245"/>
      <c r="P249" s="225" t="str">
        <f t="shared" si="14"/>
        <v/>
      </c>
      <c r="Q249" s="173"/>
    </row>
    <row r="250">
      <c r="A250" s="226" t="s">
        <v>52</v>
      </c>
      <c r="B250" s="159"/>
      <c r="C250" s="178"/>
      <c r="D250" s="179"/>
      <c r="E250" s="268"/>
      <c r="F250" s="163"/>
      <c r="G250" s="163"/>
      <c r="H250" s="227"/>
      <c r="J250" s="229" t="s">
        <v>52</v>
      </c>
      <c r="K250" s="278">
        <f t="shared" si="15"/>
        <v>243</v>
      </c>
      <c r="L250" s="243"/>
      <c r="M250" s="249"/>
      <c r="N250" s="244"/>
      <c r="O250" s="245"/>
      <c r="P250" s="225" t="str">
        <f t="shared" si="14"/>
        <v/>
      </c>
      <c r="Q250" s="173"/>
    </row>
    <row r="251">
      <c r="A251" s="226" t="s">
        <v>52</v>
      </c>
      <c r="B251" s="159"/>
      <c r="C251" s="178"/>
      <c r="D251" s="179"/>
      <c r="E251" s="268"/>
      <c r="F251" s="163"/>
      <c r="G251" s="163"/>
      <c r="H251" s="235"/>
      <c r="J251" s="229" t="s">
        <v>52</v>
      </c>
      <c r="K251" s="278">
        <f t="shared" si="15"/>
        <v>244</v>
      </c>
      <c r="L251" s="243"/>
      <c r="M251" s="249"/>
      <c r="N251" s="244"/>
      <c r="O251" s="245"/>
      <c r="P251" s="225" t="str">
        <f t="shared" si="14"/>
        <v/>
      </c>
      <c r="Q251" s="173"/>
    </row>
    <row r="252">
      <c r="A252" s="226" t="s">
        <v>52</v>
      </c>
      <c r="B252" s="159"/>
      <c r="C252" s="178"/>
      <c r="D252" s="179"/>
      <c r="E252" s="268"/>
      <c r="F252" s="163"/>
      <c r="G252" s="163"/>
      <c r="H252" s="227"/>
      <c r="J252" s="229" t="s">
        <v>52</v>
      </c>
      <c r="K252" s="278">
        <f t="shared" si="15"/>
        <v>245</v>
      </c>
      <c r="L252" s="243"/>
      <c r="M252" s="248"/>
      <c r="N252" s="244"/>
      <c r="O252" s="224"/>
      <c r="P252" s="225" t="str">
        <f t="shared" si="14"/>
        <v/>
      </c>
      <c r="Q252" s="173"/>
    </row>
    <row r="253">
      <c r="A253" s="250" t="s">
        <v>52</v>
      </c>
      <c r="B253" s="193"/>
      <c r="C253" s="194"/>
      <c r="D253" s="195"/>
      <c r="E253" s="270"/>
      <c r="F253" s="197"/>
      <c r="G253" s="197"/>
      <c r="H253" s="251"/>
      <c r="J253" s="252" t="s">
        <v>52</v>
      </c>
      <c r="K253" s="279">
        <f t="shared" si="15"/>
        <v>246</v>
      </c>
      <c r="L253" s="253"/>
      <c r="M253" s="254"/>
      <c r="N253" s="255"/>
      <c r="O253" s="256"/>
      <c r="P253" s="225" t="str">
        <f t="shared" si="14"/>
        <v/>
      </c>
      <c r="Q253" s="258"/>
    </row>
    <row r="254">
      <c r="K254" s="273"/>
      <c r="N254" s="177"/>
      <c r="O254" s="273"/>
      <c r="P254" s="280"/>
    </row>
    <row r="255">
      <c r="A255" s="215" t="s">
        <v>53</v>
      </c>
      <c r="B255" s="187" t="s">
        <v>89</v>
      </c>
      <c r="C255" s="188">
        <v>44013.0</v>
      </c>
      <c r="D255" s="189" t="s">
        <v>276</v>
      </c>
      <c r="E255" s="282">
        <v>70.0</v>
      </c>
      <c r="F255" s="153" t="s">
        <v>22</v>
      </c>
      <c r="G255" s="153" t="s">
        <v>24</v>
      </c>
      <c r="H255" s="217"/>
      <c r="J255" s="219" t="s">
        <v>53</v>
      </c>
      <c r="K255" s="262">
        <f>K253+1</f>
        <v>247</v>
      </c>
      <c r="L255" s="263"/>
      <c r="M255" s="264"/>
      <c r="N255" s="265"/>
      <c r="O255" s="266"/>
      <c r="P255" s="225" t="str">
        <f t="shared" ref="P255:P295" si="16">iferror($N255/$O255,"")</f>
        <v/>
      </c>
      <c r="Q255" s="191"/>
    </row>
    <row r="256">
      <c r="A256" s="226" t="s">
        <v>53</v>
      </c>
      <c r="B256" s="159" t="s">
        <v>97</v>
      </c>
      <c r="C256" s="178">
        <v>44016.0</v>
      </c>
      <c r="D256" s="179" t="s">
        <v>258</v>
      </c>
      <c r="E256" s="283">
        <v>1.13</v>
      </c>
      <c r="F256" s="163" t="s">
        <v>26</v>
      </c>
      <c r="G256" s="163" t="s">
        <v>27</v>
      </c>
      <c r="H256" s="227"/>
      <c r="J256" s="229" t="s">
        <v>53</v>
      </c>
      <c r="K256" s="230">
        <f t="shared" ref="K256:K295" si="17">K255+1</f>
        <v>248</v>
      </c>
      <c r="L256" s="231"/>
      <c r="M256" s="232"/>
      <c r="N256" s="233"/>
      <c r="O256" s="234"/>
      <c r="P256" s="225" t="str">
        <f t="shared" si="16"/>
        <v/>
      </c>
      <c r="Q256" s="172"/>
    </row>
    <row r="257">
      <c r="A257" s="226" t="s">
        <v>53</v>
      </c>
      <c r="B257" s="159" t="s">
        <v>75</v>
      </c>
      <c r="C257" s="178">
        <v>44018.0</v>
      </c>
      <c r="D257" s="179" t="s">
        <v>237</v>
      </c>
      <c r="E257" s="283">
        <v>10.0</v>
      </c>
      <c r="F257" s="163" t="s">
        <v>22</v>
      </c>
      <c r="G257" s="163" t="s">
        <v>24</v>
      </c>
      <c r="H257" s="235"/>
      <c r="J257" s="229" t="s">
        <v>53</v>
      </c>
      <c r="K257" s="230">
        <f t="shared" si="17"/>
        <v>249</v>
      </c>
      <c r="L257" s="231"/>
      <c r="M257" s="232"/>
      <c r="N257" s="233"/>
      <c r="O257" s="234"/>
      <c r="P257" s="225" t="str">
        <f t="shared" si="16"/>
        <v/>
      </c>
      <c r="Q257" s="172"/>
    </row>
    <row r="258">
      <c r="A258" s="226" t="s">
        <v>53</v>
      </c>
      <c r="B258" s="159" t="s">
        <v>111</v>
      </c>
      <c r="C258" s="178">
        <v>44020.0</v>
      </c>
      <c r="D258" s="179" t="s">
        <v>277</v>
      </c>
      <c r="E258" s="283">
        <v>42.07</v>
      </c>
      <c r="F258" s="163" t="s">
        <v>14</v>
      </c>
      <c r="G258" s="163" t="s">
        <v>16</v>
      </c>
      <c r="H258" s="227"/>
      <c r="J258" s="229" t="s">
        <v>53</v>
      </c>
      <c r="K258" s="230">
        <f t="shared" si="17"/>
        <v>250</v>
      </c>
      <c r="L258" s="231"/>
      <c r="M258" s="232"/>
      <c r="N258" s="233"/>
      <c r="O258" s="234"/>
      <c r="P258" s="225" t="str">
        <f t="shared" si="16"/>
        <v/>
      </c>
      <c r="Q258" s="172"/>
    </row>
    <row r="259">
      <c r="A259" s="226" t="s">
        <v>53</v>
      </c>
      <c r="B259" s="159" t="s">
        <v>111</v>
      </c>
      <c r="C259" s="178">
        <v>44022.0</v>
      </c>
      <c r="D259" s="179" t="s">
        <v>278</v>
      </c>
      <c r="E259" s="283">
        <v>62.15</v>
      </c>
      <c r="F259" s="163" t="s">
        <v>14</v>
      </c>
      <c r="G259" s="163" t="s">
        <v>16</v>
      </c>
      <c r="H259" s="235"/>
      <c r="J259" s="229" t="s">
        <v>53</v>
      </c>
      <c r="K259" s="274">
        <f t="shared" si="17"/>
        <v>251</v>
      </c>
      <c r="L259" s="237"/>
      <c r="M259" s="238"/>
      <c r="N259" s="239"/>
      <c r="O259" s="240"/>
      <c r="P259" s="225" t="str">
        <f t="shared" si="16"/>
        <v/>
      </c>
      <c r="Q259" s="172"/>
    </row>
    <row r="260">
      <c r="A260" s="226" t="s">
        <v>53</v>
      </c>
      <c r="B260" s="159" t="s">
        <v>111</v>
      </c>
      <c r="C260" s="178">
        <v>44022.0</v>
      </c>
      <c r="D260" s="179" t="s">
        <v>279</v>
      </c>
      <c r="E260" s="283">
        <v>0.68</v>
      </c>
      <c r="F260" s="163" t="s">
        <v>14</v>
      </c>
      <c r="G260" s="163" t="s">
        <v>16</v>
      </c>
      <c r="H260" s="227"/>
      <c r="J260" s="229" t="s">
        <v>53</v>
      </c>
      <c r="K260" s="274">
        <f t="shared" si="17"/>
        <v>252</v>
      </c>
      <c r="L260" s="237"/>
      <c r="M260" s="238"/>
      <c r="N260" s="239"/>
      <c r="O260" s="240"/>
      <c r="P260" s="225" t="str">
        <f t="shared" si="16"/>
        <v/>
      </c>
      <c r="Q260" s="172"/>
    </row>
    <row r="261">
      <c r="A261" s="226" t="s">
        <v>53</v>
      </c>
      <c r="B261" s="159" t="s">
        <v>111</v>
      </c>
      <c r="C261" s="178">
        <v>44023.0</v>
      </c>
      <c r="D261" s="179" t="s">
        <v>277</v>
      </c>
      <c r="E261" s="283">
        <v>20.11</v>
      </c>
      <c r="F261" s="163" t="s">
        <v>14</v>
      </c>
      <c r="G261" s="163" t="s">
        <v>16</v>
      </c>
      <c r="H261" s="235"/>
      <c r="J261" s="229" t="s">
        <v>53</v>
      </c>
      <c r="K261" s="274">
        <f t="shared" si="17"/>
        <v>253</v>
      </c>
      <c r="L261" s="237"/>
      <c r="M261" s="238"/>
      <c r="N261" s="239"/>
      <c r="O261" s="240"/>
      <c r="P261" s="225" t="str">
        <f t="shared" si="16"/>
        <v/>
      </c>
      <c r="Q261" s="172"/>
    </row>
    <row r="262">
      <c r="A262" s="226" t="s">
        <v>53</v>
      </c>
      <c r="B262" s="159" t="s">
        <v>109</v>
      </c>
      <c r="C262" s="178">
        <v>44023.0</v>
      </c>
      <c r="D262" s="179" t="s">
        <v>280</v>
      </c>
      <c r="E262" s="283">
        <v>50.0</v>
      </c>
      <c r="F262" s="163" t="s">
        <v>14</v>
      </c>
      <c r="G262" s="163" t="s">
        <v>16</v>
      </c>
      <c r="H262" s="227"/>
      <c r="J262" s="229" t="s">
        <v>53</v>
      </c>
      <c r="K262" s="274">
        <f t="shared" si="17"/>
        <v>254</v>
      </c>
      <c r="L262" s="237"/>
      <c r="M262" s="238"/>
      <c r="N262" s="239"/>
      <c r="O262" s="240"/>
      <c r="P262" s="225" t="str">
        <f t="shared" si="16"/>
        <v/>
      </c>
      <c r="Q262" s="172"/>
    </row>
    <row r="263">
      <c r="A263" s="226" t="s">
        <v>53</v>
      </c>
      <c r="B263" s="159" t="s">
        <v>75</v>
      </c>
      <c r="C263" s="178">
        <v>44027.0</v>
      </c>
      <c r="D263" s="179" t="s">
        <v>237</v>
      </c>
      <c r="E263" s="283">
        <v>10.0</v>
      </c>
      <c r="F263" s="163" t="s">
        <v>22</v>
      </c>
      <c r="G263" s="163" t="s">
        <v>24</v>
      </c>
      <c r="H263" s="281"/>
      <c r="J263" s="229" t="s">
        <v>53</v>
      </c>
      <c r="K263" s="274">
        <f t="shared" si="17"/>
        <v>255</v>
      </c>
      <c r="L263" s="237"/>
      <c r="M263" s="238"/>
      <c r="N263" s="239"/>
      <c r="O263" s="240"/>
      <c r="P263" s="225" t="str">
        <f t="shared" si="16"/>
        <v/>
      </c>
      <c r="Q263" s="172"/>
    </row>
    <row r="264">
      <c r="A264" s="226" t="s">
        <v>53</v>
      </c>
      <c r="B264" s="159" t="s">
        <v>109</v>
      </c>
      <c r="C264" s="178">
        <v>44034.0</v>
      </c>
      <c r="D264" s="179" t="s">
        <v>154</v>
      </c>
      <c r="E264" s="283">
        <v>1.0</v>
      </c>
      <c r="F264" s="163" t="s">
        <v>14</v>
      </c>
      <c r="G264" s="163" t="s">
        <v>16</v>
      </c>
      <c r="H264" s="247"/>
      <c r="J264" s="229" t="s">
        <v>53</v>
      </c>
      <c r="K264" s="274">
        <f t="shared" si="17"/>
        <v>256</v>
      </c>
      <c r="L264" s="237"/>
      <c r="M264" s="238"/>
      <c r="N264" s="239"/>
      <c r="O264" s="240"/>
      <c r="P264" s="225" t="str">
        <f t="shared" si="16"/>
        <v/>
      </c>
      <c r="Q264" s="172"/>
    </row>
    <row r="265">
      <c r="A265" s="226" t="s">
        <v>53</v>
      </c>
      <c r="B265" s="159" t="s">
        <v>93</v>
      </c>
      <c r="C265" s="178">
        <v>44035.0</v>
      </c>
      <c r="D265" s="179" t="s">
        <v>197</v>
      </c>
      <c r="E265" s="283">
        <v>15.44</v>
      </c>
      <c r="F265" s="163" t="s">
        <v>14</v>
      </c>
      <c r="G265" s="163" t="s">
        <v>16</v>
      </c>
      <c r="H265" s="235"/>
      <c r="J265" s="229" t="s">
        <v>53</v>
      </c>
      <c r="K265" s="274">
        <f t="shared" si="17"/>
        <v>257</v>
      </c>
      <c r="L265" s="237"/>
      <c r="M265" s="238"/>
      <c r="N265" s="239"/>
      <c r="O265" s="240"/>
      <c r="P265" s="225" t="str">
        <f t="shared" si="16"/>
        <v/>
      </c>
      <c r="Q265" s="172"/>
    </row>
    <row r="266">
      <c r="A266" s="226" t="s">
        <v>53</v>
      </c>
      <c r="B266" s="159" t="s">
        <v>111</v>
      </c>
      <c r="C266" s="178">
        <v>44039.0</v>
      </c>
      <c r="D266" s="179" t="s">
        <v>273</v>
      </c>
      <c r="E266" s="283">
        <v>474.0</v>
      </c>
      <c r="F266" s="163" t="s">
        <v>14</v>
      </c>
      <c r="G266" s="163" t="s">
        <v>16</v>
      </c>
      <c r="H266" s="227"/>
      <c r="J266" s="229" t="s">
        <v>53</v>
      </c>
      <c r="K266" s="274">
        <f t="shared" si="17"/>
        <v>258</v>
      </c>
      <c r="L266" s="237"/>
      <c r="M266" s="238"/>
      <c r="N266" s="239"/>
      <c r="O266" s="240"/>
      <c r="P266" s="225" t="str">
        <f t="shared" si="16"/>
        <v/>
      </c>
      <c r="Q266" s="172"/>
    </row>
    <row r="267">
      <c r="A267" s="226" t="s">
        <v>53</v>
      </c>
      <c r="B267" s="159" t="s">
        <v>109</v>
      </c>
      <c r="C267" s="178">
        <v>44039.0</v>
      </c>
      <c r="D267" s="179" t="s">
        <v>281</v>
      </c>
      <c r="E267" s="283">
        <v>7.0</v>
      </c>
      <c r="F267" s="163" t="s">
        <v>14</v>
      </c>
      <c r="G267" s="163" t="s">
        <v>16</v>
      </c>
      <c r="H267" s="235"/>
      <c r="J267" s="229" t="s">
        <v>53</v>
      </c>
      <c r="K267" s="274">
        <f t="shared" si="17"/>
        <v>259</v>
      </c>
      <c r="L267" s="237"/>
      <c r="M267" s="238"/>
      <c r="N267" s="239"/>
      <c r="O267" s="240"/>
      <c r="P267" s="225" t="str">
        <f t="shared" si="16"/>
        <v/>
      </c>
      <c r="Q267" s="172"/>
    </row>
    <row r="268">
      <c r="A268" s="226" t="s">
        <v>53</v>
      </c>
      <c r="B268" s="159" t="s">
        <v>97</v>
      </c>
      <c r="C268" s="178">
        <v>44043.0</v>
      </c>
      <c r="D268" s="179" t="s">
        <v>196</v>
      </c>
      <c r="E268" s="283">
        <v>2.0</v>
      </c>
      <c r="F268" s="163" t="s">
        <v>22</v>
      </c>
      <c r="G268" s="163" t="s">
        <v>24</v>
      </c>
      <c r="H268" s="227"/>
      <c r="J268" s="229" t="s">
        <v>53</v>
      </c>
      <c r="K268" s="274">
        <f t="shared" si="17"/>
        <v>260</v>
      </c>
      <c r="L268" s="237"/>
      <c r="M268" s="238"/>
      <c r="N268" s="239"/>
      <c r="O268" s="240"/>
      <c r="P268" s="225" t="str">
        <f t="shared" si="16"/>
        <v/>
      </c>
      <c r="Q268" s="172"/>
    </row>
    <row r="269">
      <c r="A269" s="226" t="s">
        <v>53</v>
      </c>
      <c r="B269" s="159" t="s">
        <v>107</v>
      </c>
      <c r="C269" s="178">
        <v>44022.0</v>
      </c>
      <c r="D269" s="179" t="s">
        <v>107</v>
      </c>
      <c r="E269" s="283">
        <v>442.4</v>
      </c>
      <c r="F269" s="163" t="s">
        <v>14</v>
      </c>
      <c r="G269" s="163" t="s">
        <v>16</v>
      </c>
      <c r="H269" s="281" t="s">
        <v>17</v>
      </c>
      <c r="J269" s="229" t="s">
        <v>53</v>
      </c>
      <c r="K269" s="274">
        <f t="shared" si="17"/>
        <v>261</v>
      </c>
      <c r="L269" s="237"/>
      <c r="M269" s="238"/>
      <c r="N269" s="239"/>
      <c r="O269" s="240"/>
      <c r="P269" s="225" t="str">
        <f t="shared" si="16"/>
        <v/>
      </c>
      <c r="Q269" s="172"/>
    </row>
    <row r="270">
      <c r="A270" s="226" t="s">
        <v>53</v>
      </c>
      <c r="B270" s="159"/>
      <c r="C270" s="178"/>
      <c r="D270" s="179"/>
      <c r="E270" s="283"/>
      <c r="F270" s="163"/>
      <c r="G270" s="269"/>
      <c r="H270" s="227"/>
      <c r="J270" s="229" t="s">
        <v>53</v>
      </c>
      <c r="K270" s="274">
        <f t="shared" si="17"/>
        <v>262</v>
      </c>
      <c r="L270" s="237"/>
      <c r="M270" s="238"/>
      <c r="N270" s="239"/>
      <c r="O270" s="240"/>
      <c r="P270" s="225" t="str">
        <f t="shared" si="16"/>
        <v/>
      </c>
      <c r="Q270" s="172"/>
    </row>
    <row r="271">
      <c r="A271" s="226" t="s">
        <v>53</v>
      </c>
      <c r="B271" s="159"/>
      <c r="C271" s="178"/>
      <c r="D271" s="179"/>
      <c r="E271" s="268"/>
      <c r="F271" s="163"/>
      <c r="G271" s="269"/>
      <c r="H271" s="235"/>
      <c r="J271" s="229" t="s">
        <v>53</v>
      </c>
      <c r="K271" s="274">
        <f t="shared" si="17"/>
        <v>263</v>
      </c>
      <c r="L271" s="237"/>
      <c r="M271" s="238"/>
      <c r="N271" s="239"/>
      <c r="O271" s="240"/>
      <c r="P271" s="225" t="str">
        <f t="shared" si="16"/>
        <v/>
      </c>
      <c r="Q271" s="172"/>
    </row>
    <row r="272">
      <c r="A272" s="226" t="s">
        <v>53</v>
      </c>
      <c r="B272" s="159"/>
      <c r="C272" s="178"/>
      <c r="D272" s="179"/>
      <c r="E272" s="268"/>
      <c r="F272" s="163"/>
      <c r="G272" s="269"/>
      <c r="H272" s="227"/>
      <c r="J272" s="229" t="s">
        <v>53</v>
      </c>
      <c r="K272" s="274">
        <f t="shared" si="17"/>
        <v>264</v>
      </c>
      <c r="L272" s="237"/>
      <c r="M272" s="238"/>
      <c r="N272" s="239"/>
      <c r="O272" s="240"/>
      <c r="P272" s="225" t="str">
        <f t="shared" si="16"/>
        <v/>
      </c>
      <c r="Q272" s="172"/>
    </row>
    <row r="273">
      <c r="A273" s="226" t="s">
        <v>53</v>
      </c>
      <c r="B273" s="159"/>
      <c r="C273" s="178"/>
      <c r="D273" s="179"/>
      <c r="E273" s="268"/>
      <c r="F273" s="163"/>
      <c r="G273" s="269"/>
      <c r="H273" s="235"/>
      <c r="J273" s="229" t="s">
        <v>53</v>
      </c>
      <c r="K273" s="274">
        <f t="shared" si="17"/>
        <v>265</v>
      </c>
      <c r="L273" s="237"/>
      <c r="M273" s="238"/>
      <c r="N273" s="239"/>
      <c r="O273" s="240"/>
      <c r="P273" s="225" t="str">
        <f t="shared" si="16"/>
        <v/>
      </c>
      <c r="Q273" s="172"/>
    </row>
    <row r="274">
      <c r="A274" s="226" t="s">
        <v>53</v>
      </c>
      <c r="B274" s="159"/>
      <c r="C274" s="178"/>
      <c r="D274" s="179"/>
      <c r="E274" s="268"/>
      <c r="F274" s="163"/>
      <c r="G274" s="269"/>
      <c r="H274" s="227"/>
      <c r="J274" s="229" t="s">
        <v>53</v>
      </c>
      <c r="K274" s="274">
        <f t="shared" si="17"/>
        <v>266</v>
      </c>
      <c r="L274" s="237"/>
      <c r="M274" s="238"/>
      <c r="N274" s="239"/>
      <c r="O274" s="240"/>
      <c r="P274" s="225" t="str">
        <f t="shared" si="16"/>
        <v/>
      </c>
      <c r="Q274" s="172"/>
    </row>
    <row r="275">
      <c r="A275" s="226" t="s">
        <v>53</v>
      </c>
      <c r="B275" s="159"/>
      <c r="C275" s="178"/>
      <c r="D275" s="179"/>
      <c r="E275" s="268"/>
      <c r="F275" s="163"/>
      <c r="G275" s="269"/>
      <c r="H275" s="235"/>
      <c r="J275" s="229" t="s">
        <v>53</v>
      </c>
      <c r="K275" s="274">
        <f t="shared" si="17"/>
        <v>267</v>
      </c>
      <c r="L275" s="237"/>
      <c r="M275" s="238"/>
      <c r="N275" s="239"/>
      <c r="O275" s="240"/>
      <c r="P275" s="225" t="str">
        <f t="shared" si="16"/>
        <v/>
      </c>
      <c r="Q275" s="172"/>
    </row>
    <row r="276">
      <c r="A276" s="226" t="s">
        <v>53</v>
      </c>
      <c r="B276" s="159"/>
      <c r="C276" s="178"/>
      <c r="D276" s="179"/>
      <c r="E276" s="268"/>
      <c r="F276" s="163"/>
      <c r="G276" s="269"/>
      <c r="H276" s="227"/>
      <c r="J276" s="229" t="s">
        <v>53</v>
      </c>
      <c r="K276" s="274">
        <f t="shared" si="17"/>
        <v>268</v>
      </c>
      <c r="L276" s="237"/>
      <c r="M276" s="238"/>
      <c r="N276" s="239"/>
      <c r="O276" s="240"/>
      <c r="P276" s="225" t="str">
        <f t="shared" si="16"/>
        <v/>
      </c>
      <c r="Q276" s="172"/>
    </row>
    <row r="277">
      <c r="A277" s="226" t="s">
        <v>53</v>
      </c>
      <c r="B277" s="159"/>
      <c r="C277" s="178"/>
      <c r="D277" s="179"/>
      <c r="E277" s="268"/>
      <c r="F277" s="163"/>
      <c r="G277" s="269"/>
      <c r="H277" s="235"/>
      <c r="J277" s="229" t="s">
        <v>53</v>
      </c>
      <c r="K277" s="274">
        <f t="shared" si="17"/>
        <v>269</v>
      </c>
      <c r="L277" s="237"/>
      <c r="M277" s="238"/>
      <c r="N277" s="239"/>
      <c r="O277" s="240"/>
      <c r="P277" s="225" t="str">
        <f t="shared" si="16"/>
        <v/>
      </c>
      <c r="Q277" s="172"/>
    </row>
    <row r="278">
      <c r="A278" s="226" t="s">
        <v>53</v>
      </c>
      <c r="B278" s="159"/>
      <c r="C278" s="178"/>
      <c r="D278" s="179"/>
      <c r="E278" s="268"/>
      <c r="F278" s="163"/>
      <c r="G278" s="269"/>
      <c r="H278" s="227"/>
      <c r="J278" s="229" t="s">
        <v>53</v>
      </c>
      <c r="K278" s="274">
        <f t="shared" si="17"/>
        <v>270</v>
      </c>
      <c r="L278" s="237"/>
      <c r="M278" s="238"/>
      <c r="N278" s="239"/>
      <c r="O278" s="240"/>
      <c r="P278" s="225" t="str">
        <f t="shared" si="16"/>
        <v/>
      </c>
      <c r="Q278" s="172"/>
    </row>
    <row r="279">
      <c r="A279" s="226" t="s">
        <v>53</v>
      </c>
      <c r="B279" s="159"/>
      <c r="C279" s="178"/>
      <c r="D279" s="179"/>
      <c r="E279" s="268"/>
      <c r="F279" s="163"/>
      <c r="G279" s="163"/>
      <c r="H279" s="235"/>
      <c r="J279" s="229" t="s">
        <v>53</v>
      </c>
      <c r="K279" s="278">
        <f t="shared" si="17"/>
        <v>271</v>
      </c>
      <c r="L279" s="243"/>
      <c r="M279" s="151"/>
      <c r="N279" s="244"/>
      <c r="O279" s="245"/>
      <c r="P279" s="225" t="str">
        <f t="shared" si="16"/>
        <v/>
      </c>
      <c r="Q279" s="172"/>
    </row>
    <row r="280">
      <c r="A280" s="226" t="s">
        <v>53</v>
      </c>
      <c r="B280" s="159"/>
      <c r="C280" s="178"/>
      <c r="D280" s="179"/>
      <c r="E280" s="268"/>
      <c r="F280" s="163"/>
      <c r="G280" s="163"/>
      <c r="H280" s="227"/>
      <c r="J280" s="229" t="s">
        <v>53</v>
      </c>
      <c r="K280" s="278">
        <f t="shared" si="17"/>
        <v>272</v>
      </c>
      <c r="L280" s="243"/>
      <c r="M280" s="151"/>
      <c r="N280" s="244"/>
      <c r="O280" s="245"/>
      <c r="P280" s="225" t="str">
        <f t="shared" si="16"/>
        <v/>
      </c>
      <c r="Q280" s="172"/>
    </row>
    <row r="281">
      <c r="A281" s="226" t="s">
        <v>53</v>
      </c>
      <c r="B281" s="159"/>
      <c r="C281" s="178"/>
      <c r="D281" s="179"/>
      <c r="E281" s="268"/>
      <c r="F281" s="163"/>
      <c r="G281" s="163"/>
      <c r="H281" s="235"/>
      <c r="J281" s="229" t="s">
        <v>53</v>
      </c>
      <c r="K281" s="278">
        <f t="shared" si="17"/>
        <v>273</v>
      </c>
      <c r="L281" s="243"/>
      <c r="M281" s="151"/>
      <c r="N281" s="244"/>
      <c r="O281" s="245"/>
      <c r="P281" s="225" t="str">
        <f t="shared" si="16"/>
        <v/>
      </c>
      <c r="Q281" s="172"/>
    </row>
    <row r="282">
      <c r="A282" s="226" t="s">
        <v>53</v>
      </c>
      <c r="B282" s="159"/>
      <c r="C282" s="178"/>
      <c r="D282" s="179"/>
      <c r="E282" s="268"/>
      <c r="F282" s="163"/>
      <c r="G282" s="163"/>
      <c r="H282" s="227"/>
      <c r="J282" s="229" t="s">
        <v>53</v>
      </c>
      <c r="K282" s="278">
        <f t="shared" si="17"/>
        <v>274</v>
      </c>
      <c r="L282" s="243"/>
      <c r="M282" s="151"/>
      <c r="N282" s="244"/>
      <c r="O282" s="245"/>
      <c r="P282" s="225" t="str">
        <f t="shared" si="16"/>
        <v/>
      </c>
      <c r="Q282" s="172"/>
    </row>
    <row r="283">
      <c r="A283" s="226" t="s">
        <v>53</v>
      </c>
      <c r="B283" s="159"/>
      <c r="C283" s="178"/>
      <c r="D283" s="179"/>
      <c r="E283" s="268"/>
      <c r="F283" s="163"/>
      <c r="G283" s="163"/>
      <c r="H283" s="235"/>
      <c r="J283" s="229" t="s">
        <v>53</v>
      </c>
      <c r="K283" s="278">
        <f t="shared" si="17"/>
        <v>275</v>
      </c>
      <c r="L283" s="243"/>
      <c r="M283" s="151"/>
      <c r="N283" s="244"/>
      <c r="O283" s="245"/>
      <c r="P283" s="225" t="str">
        <f t="shared" si="16"/>
        <v/>
      </c>
      <c r="Q283" s="172"/>
    </row>
    <row r="284">
      <c r="A284" s="226" t="s">
        <v>53</v>
      </c>
      <c r="B284" s="159"/>
      <c r="C284" s="178"/>
      <c r="D284" s="179"/>
      <c r="E284" s="268"/>
      <c r="F284" s="163"/>
      <c r="G284" s="163"/>
      <c r="H284" s="227"/>
      <c r="J284" s="229" t="s">
        <v>53</v>
      </c>
      <c r="K284" s="278">
        <f t="shared" si="17"/>
        <v>276</v>
      </c>
      <c r="L284" s="243"/>
      <c r="M284" s="151"/>
      <c r="N284" s="244"/>
      <c r="O284" s="245"/>
      <c r="P284" s="225" t="str">
        <f t="shared" si="16"/>
        <v/>
      </c>
      <c r="Q284" s="172"/>
    </row>
    <row r="285">
      <c r="A285" s="226" t="s">
        <v>53</v>
      </c>
      <c r="B285" s="159"/>
      <c r="C285" s="178"/>
      <c r="D285" s="179"/>
      <c r="E285" s="268"/>
      <c r="F285" s="163"/>
      <c r="G285" s="163"/>
      <c r="H285" s="235"/>
      <c r="J285" s="229" t="s">
        <v>53</v>
      </c>
      <c r="K285" s="278">
        <f t="shared" si="17"/>
        <v>277</v>
      </c>
      <c r="L285" s="243"/>
      <c r="M285" s="151"/>
      <c r="N285" s="244"/>
      <c r="O285" s="245"/>
      <c r="P285" s="225" t="str">
        <f t="shared" si="16"/>
        <v/>
      </c>
      <c r="Q285" s="173"/>
    </row>
    <row r="286">
      <c r="A286" s="226" t="s">
        <v>53</v>
      </c>
      <c r="B286" s="159"/>
      <c r="C286" s="178"/>
      <c r="D286" s="179"/>
      <c r="E286" s="268"/>
      <c r="F286" s="163"/>
      <c r="G286" s="163"/>
      <c r="H286" s="227"/>
      <c r="J286" s="229" t="s">
        <v>53</v>
      </c>
      <c r="K286" s="278">
        <f t="shared" si="17"/>
        <v>278</v>
      </c>
      <c r="L286" s="243"/>
      <c r="M286" s="163"/>
      <c r="N286" s="223"/>
      <c r="O286" s="224"/>
      <c r="P286" s="225" t="str">
        <f t="shared" si="16"/>
        <v/>
      </c>
      <c r="Q286" s="173"/>
    </row>
    <row r="287">
      <c r="A287" s="226" t="s">
        <v>53</v>
      </c>
      <c r="B287" s="159"/>
      <c r="C287" s="178"/>
      <c r="D287" s="179"/>
      <c r="E287" s="268"/>
      <c r="F287" s="163"/>
      <c r="G287" s="163"/>
      <c r="H287" s="235"/>
      <c r="J287" s="229" t="s">
        <v>53</v>
      </c>
      <c r="K287" s="278">
        <f t="shared" si="17"/>
        <v>279</v>
      </c>
      <c r="L287" s="243"/>
      <c r="M287" s="163"/>
      <c r="N287" s="223"/>
      <c r="O287" s="224"/>
      <c r="P287" s="225" t="str">
        <f t="shared" si="16"/>
        <v/>
      </c>
      <c r="Q287" s="173"/>
    </row>
    <row r="288">
      <c r="A288" s="226" t="s">
        <v>53</v>
      </c>
      <c r="B288" s="159"/>
      <c r="C288" s="178"/>
      <c r="D288" s="179"/>
      <c r="E288" s="268"/>
      <c r="F288" s="163"/>
      <c r="G288" s="163"/>
      <c r="H288" s="227"/>
      <c r="J288" s="229" t="s">
        <v>53</v>
      </c>
      <c r="K288" s="278">
        <f t="shared" si="17"/>
        <v>280</v>
      </c>
      <c r="L288" s="243"/>
      <c r="M288" s="248"/>
      <c r="N288" s="223"/>
      <c r="O288" s="224"/>
      <c r="P288" s="225" t="str">
        <f t="shared" si="16"/>
        <v/>
      </c>
      <c r="Q288" s="173"/>
    </row>
    <row r="289">
      <c r="A289" s="226" t="s">
        <v>53</v>
      </c>
      <c r="B289" s="159"/>
      <c r="C289" s="178"/>
      <c r="D289" s="179"/>
      <c r="E289" s="268"/>
      <c r="F289" s="163"/>
      <c r="G289" s="163"/>
      <c r="H289" s="235"/>
      <c r="J289" s="229" t="s">
        <v>53</v>
      </c>
      <c r="K289" s="278">
        <f t="shared" si="17"/>
        <v>281</v>
      </c>
      <c r="L289" s="243"/>
      <c r="M289" s="248"/>
      <c r="N289" s="223"/>
      <c r="O289" s="224"/>
      <c r="P289" s="225" t="str">
        <f t="shared" si="16"/>
        <v/>
      </c>
      <c r="Q289" s="173"/>
    </row>
    <row r="290">
      <c r="A290" s="226" t="s">
        <v>53</v>
      </c>
      <c r="B290" s="159"/>
      <c r="C290" s="178"/>
      <c r="D290" s="179"/>
      <c r="E290" s="268"/>
      <c r="F290" s="163"/>
      <c r="G290" s="163"/>
      <c r="H290" s="227"/>
      <c r="J290" s="229" t="s">
        <v>53</v>
      </c>
      <c r="K290" s="278">
        <f t="shared" si="17"/>
        <v>282</v>
      </c>
      <c r="L290" s="243"/>
      <c r="M290" s="248"/>
      <c r="N290" s="223"/>
      <c r="O290" s="224"/>
      <c r="P290" s="225" t="str">
        <f t="shared" si="16"/>
        <v/>
      </c>
      <c r="Q290" s="173"/>
    </row>
    <row r="291">
      <c r="A291" s="226" t="s">
        <v>53</v>
      </c>
      <c r="B291" s="159"/>
      <c r="C291" s="178"/>
      <c r="D291" s="179"/>
      <c r="E291" s="268"/>
      <c r="F291" s="163"/>
      <c r="G291" s="163"/>
      <c r="H291" s="235"/>
      <c r="J291" s="229" t="s">
        <v>53</v>
      </c>
      <c r="K291" s="278">
        <f t="shared" si="17"/>
        <v>283</v>
      </c>
      <c r="L291" s="243"/>
      <c r="M291" s="249"/>
      <c r="N291" s="244"/>
      <c r="O291" s="245"/>
      <c r="P291" s="225" t="str">
        <f t="shared" si="16"/>
        <v/>
      </c>
      <c r="Q291" s="173"/>
    </row>
    <row r="292">
      <c r="A292" s="226" t="s">
        <v>53</v>
      </c>
      <c r="B292" s="159"/>
      <c r="C292" s="178"/>
      <c r="D292" s="179"/>
      <c r="E292" s="268"/>
      <c r="F292" s="163"/>
      <c r="G292" s="163"/>
      <c r="H292" s="227"/>
      <c r="J292" s="229" t="s">
        <v>53</v>
      </c>
      <c r="K292" s="278">
        <f t="shared" si="17"/>
        <v>284</v>
      </c>
      <c r="L292" s="243"/>
      <c r="M292" s="249"/>
      <c r="N292" s="244"/>
      <c r="O292" s="245"/>
      <c r="P292" s="225" t="str">
        <f t="shared" si="16"/>
        <v/>
      </c>
      <c r="Q292" s="173"/>
    </row>
    <row r="293">
      <c r="A293" s="226" t="s">
        <v>53</v>
      </c>
      <c r="B293" s="159"/>
      <c r="C293" s="178"/>
      <c r="D293" s="179"/>
      <c r="E293" s="268"/>
      <c r="F293" s="163"/>
      <c r="G293" s="163"/>
      <c r="H293" s="235"/>
      <c r="J293" s="229" t="s">
        <v>53</v>
      </c>
      <c r="K293" s="278">
        <f t="shared" si="17"/>
        <v>285</v>
      </c>
      <c r="L293" s="243"/>
      <c r="M293" s="249"/>
      <c r="N293" s="244"/>
      <c r="O293" s="245"/>
      <c r="P293" s="225" t="str">
        <f t="shared" si="16"/>
        <v/>
      </c>
      <c r="Q293" s="173"/>
    </row>
    <row r="294">
      <c r="A294" s="226" t="s">
        <v>53</v>
      </c>
      <c r="B294" s="159"/>
      <c r="C294" s="178"/>
      <c r="D294" s="179"/>
      <c r="E294" s="268"/>
      <c r="F294" s="163"/>
      <c r="G294" s="163"/>
      <c r="H294" s="227"/>
      <c r="J294" s="229" t="s">
        <v>53</v>
      </c>
      <c r="K294" s="278">
        <f t="shared" si="17"/>
        <v>286</v>
      </c>
      <c r="L294" s="243"/>
      <c r="M294" s="248"/>
      <c r="N294" s="244"/>
      <c r="O294" s="224"/>
      <c r="P294" s="225" t="str">
        <f t="shared" si="16"/>
        <v/>
      </c>
      <c r="Q294" s="173"/>
    </row>
    <row r="295">
      <c r="A295" s="250" t="s">
        <v>53</v>
      </c>
      <c r="B295" s="193"/>
      <c r="C295" s="194"/>
      <c r="D295" s="195"/>
      <c r="E295" s="270"/>
      <c r="F295" s="197"/>
      <c r="G295" s="197"/>
      <c r="H295" s="251"/>
      <c r="J295" s="252" t="s">
        <v>53</v>
      </c>
      <c r="K295" s="279">
        <f t="shared" si="17"/>
        <v>287</v>
      </c>
      <c r="L295" s="253"/>
      <c r="M295" s="254"/>
      <c r="N295" s="255"/>
      <c r="O295" s="256"/>
      <c r="P295" s="225" t="str">
        <f t="shared" si="16"/>
        <v/>
      </c>
      <c r="Q295" s="258"/>
    </row>
    <row r="296">
      <c r="K296" s="273"/>
      <c r="N296" s="177"/>
      <c r="O296" s="273"/>
      <c r="P296" s="280"/>
    </row>
    <row r="297">
      <c r="A297" s="215" t="s">
        <v>54</v>
      </c>
      <c r="B297" s="187" t="s">
        <v>75</v>
      </c>
      <c r="C297" s="188">
        <v>44044.0</v>
      </c>
      <c r="D297" s="189" t="s">
        <v>282</v>
      </c>
      <c r="E297" s="282">
        <v>24.97</v>
      </c>
      <c r="F297" s="153" t="s">
        <v>14</v>
      </c>
      <c r="G297" s="153" t="s">
        <v>16</v>
      </c>
      <c r="H297" s="217"/>
      <c r="J297" s="219" t="s">
        <v>54</v>
      </c>
      <c r="K297" s="262">
        <f>K295+1</f>
        <v>288</v>
      </c>
      <c r="L297" s="263">
        <v>44068.0</v>
      </c>
      <c r="M297" s="264" t="s">
        <v>283</v>
      </c>
      <c r="N297" s="265">
        <v>131.33</v>
      </c>
      <c r="O297" s="266">
        <v>2.0</v>
      </c>
      <c r="P297" s="225">
        <f t="shared" ref="P297:P337" si="18">iferror($N297/$O297,"")</f>
        <v>65.665</v>
      </c>
      <c r="Q297" s="191" t="s">
        <v>14</v>
      </c>
    </row>
    <row r="298">
      <c r="A298" s="226" t="s">
        <v>54</v>
      </c>
      <c r="B298" s="159" t="s">
        <v>111</v>
      </c>
      <c r="C298" s="178">
        <v>44050.0</v>
      </c>
      <c r="D298" s="179" t="s">
        <v>284</v>
      </c>
      <c r="E298" s="283">
        <v>16.0</v>
      </c>
      <c r="F298" s="163" t="s">
        <v>14</v>
      </c>
      <c r="G298" s="163" t="s">
        <v>16</v>
      </c>
      <c r="H298" s="227"/>
      <c r="J298" s="229" t="s">
        <v>54</v>
      </c>
      <c r="K298" s="230">
        <f t="shared" ref="K298:K337" si="19">K297+1</f>
        <v>289</v>
      </c>
      <c r="L298" s="231"/>
      <c r="M298" s="232"/>
      <c r="N298" s="233"/>
      <c r="O298" s="234"/>
      <c r="P298" s="225" t="str">
        <f t="shared" si="18"/>
        <v/>
      </c>
      <c r="Q298" s="172"/>
    </row>
    <row r="299">
      <c r="A299" s="226" t="s">
        <v>54</v>
      </c>
      <c r="B299" s="159" t="s">
        <v>111</v>
      </c>
      <c r="C299" s="178">
        <v>44050.0</v>
      </c>
      <c r="D299" s="179" t="s">
        <v>279</v>
      </c>
      <c r="E299" s="283">
        <v>19.0</v>
      </c>
      <c r="F299" s="163" t="s">
        <v>14</v>
      </c>
      <c r="G299" s="163" t="s">
        <v>16</v>
      </c>
      <c r="H299" s="235"/>
      <c r="J299" s="229" t="s">
        <v>54</v>
      </c>
      <c r="K299" s="230">
        <f t="shared" si="19"/>
        <v>290</v>
      </c>
      <c r="L299" s="231"/>
      <c r="M299" s="232"/>
      <c r="N299" s="233"/>
      <c r="O299" s="234"/>
      <c r="P299" s="225" t="str">
        <f t="shared" si="18"/>
        <v/>
      </c>
      <c r="Q299" s="172"/>
    </row>
    <row r="300">
      <c r="A300" s="226" t="s">
        <v>54</v>
      </c>
      <c r="B300" s="159" t="s">
        <v>111</v>
      </c>
      <c r="C300" s="178">
        <v>44051.0</v>
      </c>
      <c r="D300" s="179" t="s">
        <v>285</v>
      </c>
      <c r="E300" s="283">
        <v>50.0</v>
      </c>
      <c r="F300" s="163" t="s">
        <v>14</v>
      </c>
      <c r="G300" s="163" t="s">
        <v>16</v>
      </c>
      <c r="H300" s="227"/>
      <c r="J300" s="229" t="s">
        <v>54</v>
      </c>
      <c r="K300" s="230">
        <f t="shared" si="19"/>
        <v>291</v>
      </c>
      <c r="L300" s="231"/>
      <c r="M300" s="232"/>
      <c r="N300" s="233"/>
      <c r="O300" s="234"/>
      <c r="P300" s="225" t="str">
        <f t="shared" si="18"/>
        <v/>
      </c>
      <c r="Q300" s="172"/>
    </row>
    <row r="301">
      <c r="A301" s="226" t="s">
        <v>54</v>
      </c>
      <c r="B301" s="159" t="s">
        <v>109</v>
      </c>
      <c r="C301" s="178">
        <v>44050.0</v>
      </c>
      <c r="D301" s="179" t="s">
        <v>286</v>
      </c>
      <c r="E301" s="283">
        <v>50.0</v>
      </c>
      <c r="F301" s="163" t="s">
        <v>14</v>
      </c>
      <c r="G301" s="163" t="s">
        <v>16</v>
      </c>
      <c r="H301" s="235"/>
      <c r="J301" s="229" t="s">
        <v>54</v>
      </c>
      <c r="K301" s="274">
        <f t="shared" si="19"/>
        <v>292</v>
      </c>
      <c r="L301" s="237"/>
      <c r="M301" s="238"/>
      <c r="N301" s="239"/>
      <c r="O301" s="240"/>
      <c r="P301" s="225" t="str">
        <f t="shared" si="18"/>
        <v/>
      </c>
      <c r="Q301" s="172"/>
    </row>
    <row r="302">
      <c r="A302" s="226" t="s">
        <v>54</v>
      </c>
      <c r="B302" s="159" t="s">
        <v>109</v>
      </c>
      <c r="C302" s="178">
        <v>44053.0</v>
      </c>
      <c r="D302" s="179" t="s">
        <v>218</v>
      </c>
      <c r="E302" s="283">
        <v>122.0</v>
      </c>
      <c r="F302" s="163" t="s">
        <v>26</v>
      </c>
      <c r="G302" s="163" t="s">
        <v>27</v>
      </c>
      <c r="H302" s="227"/>
      <c r="J302" s="229" t="s">
        <v>54</v>
      </c>
      <c r="K302" s="274">
        <f t="shared" si="19"/>
        <v>293</v>
      </c>
      <c r="L302" s="237"/>
      <c r="M302" s="238"/>
      <c r="N302" s="239"/>
      <c r="O302" s="240"/>
      <c r="P302" s="225" t="str">
        <f t="shared" si="18"/>
        <v/>
      </c>
      <c r="Q302" s="172"/>
    </row>
    <row r="303">
      <c r="A303" s="226" t="s">
        <v>54</v>
      </c>
      <c r="B303" s="159" t="s">
        <v>93</v>
      </c>
      <c r="C303" s="178">
        <v>44070.0</v>
      </c>
      <c r="D303" s="179" t="s">
        <v>287</v>
      </c>
      <c r="E303" s="283">
        <v>22.0</v>
      </c>
      <c r="F303" s="163" t="s">
        <v>14</v>
      </c>
      <c r="G303" s="163" t="s">
        <v>16</v>
      </c>
      <c r="H303" s="235"/>
      <c r="J303" s="229" t="s">
        <v>54</v>
      </c>
      <c r="K303" s="274">
        <f t="shared" si="19"/>
        <v>294</v>
      </c>
      <c r="L303" s="237"/>
      <c r="M303" s="238"/>
      <c r="N303" s="239"/>
      <c r="O303" s="240"/>
      <c r="P303" s="225" t="str">
        <f t="shared" si="18"/>
        <v/>
      </c>
      <c r="Q303" s="172"/>
    </row>
    <row r="304">
      <c r="A304" s="226" t="s">
        <v>54</v>
      </c>
      <c r="B304" s="159" t="s">
        <v>93</v>
      </c>
      <c r="C304" s="178">
        <v>44062.0</v>
      </c>
      <c r="D304" s="179" t="s">
        <v>188</v>
      </c>
      <c r="E304" s="283">
        <v>150.0</v>
      </c>
      <c r="F304" s="163" t="s">
        <v>14</v>
      </c>
      <c r="G304" s="163" t="s">
        <v>16</v>
      </c>
      <c r="H304" s="227"/>
      <c r="J304" s="229" t="s">
        <v>54</v>
      </c>
      <c r="K304" s="274">
        <f t="shared" si="19"/>
        <v>295</v>
      </c>
      <c r="L304" s="237"/>
      <c r="M304" s="238"/>
      <c r="N304" s="239"/>
      <c r="O304" s="240"/>
      <c r="P304" s="225" t="str">
        <f t="shared" si="18"/>
        <v/>
      </c>
      <c r="Q304" s="172"/>
    </row>
    <row r="305">
      <c r="A305" s="226" t="s">
        <v>54</v>
      </c>
      <c r="B305" s="159"/>
      <c r="C305" s="178"/>
      <c r="D305" s="179"/>
      <c r="E305" s="283"/>
      <c r="F305" s="163"/>
      <c r="G305" s="163"/>
      <c r="H305" s="281"/>
      <c r="J305" s="229" t="s">
        <v>54</v>
      </c>
      <c r="K305" s="274">
        <f t="shared" si="19"/>
        <v>296</v>
      </c>
      <c r="L305" s="237"/>
      <c r="M305" s="238"/>
      <c r="N305" s="239"/>
      <c r="O305" s="240"/>
      <c r="P305" s="225" t="str">
        <f t="shared" si="18"/>
        <v/>
      </c>
      <c r="Q305" s="172"/>
    </row>
    <row r="306">
      <c r="A306" s="226" t="s">
        <v>54</v>
      </c>
      <c r="B306" s="159"/>
      <c r="C306" s="178"/>
      <c r="D306" s="179"/>
      <c r="E306" s="283"/>
      <c r="F306" s="163"/>
      <c r="G306" s="269"/>
      <c r="H306" s="247"/>
      <c r="J306" s="229" t="s">
        <v>54</v>
      </c>
      <c r="K306" s="274">
        <f t="shared" si="19"/>
        <v>297</v>
      </c>
      <c r="L306" s="237"/>
      <c r="M306" s="238"/>
      <c r="N306" s="239"/>
      <c r="O306" s="240"/>
      <c r="P306" s="225" t="str">
        <f t="shared" si="18"/>
        <v/>
      </c>
      <c r="Q306" s="172"/>
    </row>
    <row r="307">
      <c r="A307" s="226" t="s">
        <v>54</v>
      </c>
      <c r="B307" s="159"/>
      <c r="C307" s="178"/>
      <c r="D307" s="179"/>
      <c r="E307" s="268"/>
      <c r="F307" s="163"/>
      <c r="G307" s="269"/>
      <c r="H307" s="235"/>
      <c r="J307" s="229" t="s">
        <v>54</v>
      </c>
      <c r="K307" s="274">
        <f t="shared" si="19"/>
        <v>298</v>
      </c>
      <c r="L307" s="237"/>
      <c r="M307" s="238"/>
      <c r="N307" s="239"/>
      <c r="O307" s="240"/>
      <c r="P307" s="225" t="str">
        <f t="shared" si="18"/>
        <v/>
      </c>
      <c r="Q307" s="172"/>
    </row>
    <row r="308">
      <c r="A308" s="226" t="s">
        <v>54</v>
      </c>
      <c r="B308" s="159"/>
      <c r="C308" s="178"/>
      <c r="D308" s="179"/>
      <c r="E308" s="268"/>
      <c r="F308" s="163"/>
      <c r="G308" s="269"/>
      <c r="H308" s="227"/>
      <c r="J308" s="229" t="s">
        <v>54</v>
      </c>
      <c r="K308" s="274">
        <f t="shared" si="19"/>
        <v>299</v>
      </c>
      <c r="L308" s="237"/>
      <c r="M308" s="238"/>
      <c r="N308" s="239"/>
      <c r="O308" s="240"/>
      <c r="P308" s="225" t="str">
        <f t="shared" si="18"/>
        <v/>
      </c>
      <c r="Q308" s="172"/>
    </row>
    <row r="309">
      <c r="A309" s="226" t="s">
        <v>54</v>
      </c>
      <c r="B309" s="159"/>
      <c r="C309" s="178"/>
      <c r="D309" s="179"/>
      <c r="E309" s="268"/>
      <c r="F309" s="163"/>
      <c r="G309" s="269"/>
      <c r="H309" s="235"/>
      <c r="J309" s="229" t="s">
        <v>54</v>
      </c>
      <c r="K309" s="274">
        <f t="shared" si="19"/>
        <v>300</v>
      </c>
      <c r="L309" s="237"/>
      <c r="M309" s="238"/>
      <c r="N309" s="239"/>
      <c r="O309" s="240"/>
      <c r="P309" s="225" t="str">
        <f t="shared" si="18"/>
        <v/>
      </c>
      <c r="Q309" s="172"/>
    </row>
    <row r="310">
      <c r="A310" s="226" t="s">
        <v>54</v>
      </c>
      <c r="B310" s="159"/>
      <c r="C310" s="178"/>
      <c r="D310" s="179"/>
      <c r="E310" s="268"/>
      <c r="F310" s="163"/>
      <c r="G310" s="269"/>
      <c r="H310" s="227"/>
      <c r="J310" s="229" t="s">
        <v>54</v>
      </c>
      <c r="K310" s="274">
        <f t="shared" si="19"/>
        <v>301</v>
      </c>
      <c r="L310" s="237"/>
      <c r="M310" s="238"/>
      <c r="N310" s="239"/>
      <c r="O310" s="240"/>
      <c r="P310" s="225" t="str">
        <f t="shared" si="18"/>
        <v/>
      </c>
      <c r="Q310" s="172"/>
    </row>
    <row r="311">
      <c r="A311" s="226" t="s">
        <v>54</v>
      </c>
      <c r="B311" s="159"/>
      <c r="C311" s="178"/>
      <c r="D311" s="179"/>
      <c r="E311" s="268"/>
      <c r="F311" s="163"/>
      <c r="G311" s="269"/>
      <c r="H311" s="235"/>
      <c r="J311" s="229" t="s">
        <v>54</v>
      </c>
      <c r="K311" s="274">
        <f t="shared" si="19"/>
        <v>302</v>
      </c>
      <c r="L311" s="237"/>
      <c r="M311" s="238"/>
      <c r="N311" s="239"/>
      <c r="O311" s="240"/>
      <c r="P311" s="225" t="str">
        <f t="shared" si="18"/>
        <v/>
      </c>
      <c r="Q311" s="172"/>
    </row>
    <row r="312">
      <c r="A312" s="226" t="s">
        <v>54</v>
      </c>
      <c r="B312" s="159"/>
      <c r="C312" s="178"/>
      <c r="D312" s="179"/>
      <c r="E312" s="268"/>
      <c r="F312" s="163"/>
      <c r="G312" s="269"/>
      <c r="H312" s="227"/>
      <c r="J312" s="229" t="s">
        <v>54</v>
      </c>
      <c r="K312" s="274">
        <f t="shared" si="19"/>
        <v>303</v>
      </c>
      <c r="L312" s="237"/>
      <c r="M312" s="238"/>
      <c r="N312" s="239"/>
      <c r="O312" s="240"/>
      <c r="P312" s="225" t="str">
        <f t="shared" si="18"/>
        <v/>
      </c>
      <c r="Q312" s="172"/>
    </row>
    <row r="313">
      <c r="A313" s="226" t="s">
        <v>54</v>
      </c>
      <c r="B313" s="159"/>
      <c r="C313" s="178"/>
      <c r="D313" s="179"/>
      <c r="E313" s="268"/>
      <c r="F313" s="163"/>
      <c r="G313" s="269"/>
      <c r="H313" s="235"/>
      <c r="J313" s="229" t="s">
        <v>54</v>
      </c>
      <c r="K313" s="274">
        <f t="shared" si="19"/>
        <v>304</v>
      </c>
      <c r="L313" s="237"/>
      <c r="M313" s="238"/>
      <c r="N313" s="239"/>
      <c r="O313" s="240"/>
      <c r="P313" s="225" t="str">
        <f t="shared" si="18"/>
        <v/>
      </c>
      <c r="Q313" s="172"/>
    </row>
    <row r="314">
      <c r="A314" s="226" t="s">
        <v>54</v>
      </c>
      <c r="B314" s="159"/>
      <c r="C314" s="178"/>
      <c r="D314" s="179"/>
      <c r="E314" s="268"/>
      <c r="F314" s="163"/>
      <c r="G314" s="269"/>
      <c r="H314" s="227"/>
      <c r="J314" s="229" t="s">
        <v>54</v>
      </c>
      <c r="K314" s="274">
        <f t="shared" si="19"/>
        <v>305</v>
      </c>
      <c r="L314" s="237"/>
      <c r="M314" s="238"/>
      <c r="N314" s="239"/>
      <c r="O314" s="240"/>
      <c r="P314" s="225" t="str">
        <f t="shared" si="18"/>
        <v/>
      </c>
      <c r="Q314" s="172"/>
    </row>
    <row r="315">
      <c r="A315" s="226" t="s">
        <v>54</v>
      </c>
      <c r="B315" s="159"/>
      <c r="C315" s="178"/>
      <c r="D315" s="179"/>
      <c r="E315" s="268"/>
      <c r="F315" s="163"/>
      <c r="G315" s="269"/>
      <c r="H315" s="235"/>
      <c r="J315" s="229" t="s">
        <v>54</v>
      </c>
      <c r="K315" s="274">
        <f t="shared" si="19"/>
        <v>306</v>
      </c>
      <c r="L315" s="237"/>
      <c r="M315" s="238"/>
      <c r="N315" s="239"/>
      <c r="O315" s="240"/>
      <c r="P315" s="225" t="str">
        <f t="shared" si="18"/>
        <v/>
      </c>
      <c r="Q315" s="172"/>
    </row>
    <row r="316">
      <c r="A316" s="226" t="s">
        <v>54</v>
      </c>
      <c r="B316" s="159"/>
      <c r="C316" s="178"/>
      <c r="D316" s="179"/>
      <c r="E316" s="268"/>
      <c r="F316" s="163"/>
      <c r="G316" s="269"/>
      <c r="H316" s="227"/>
      <c r="J316" s="229" t="s">
        <v>54</v>
      </c>
      <c r="K316" s="274">
        <f t="shared" si="19"/>
        <v>307</v>
      </c>
      <c r="L316" s="237"/>
      <c r="M316" s="238"/>
      <c r="N316" s="239"/>
      <c r="O316" s="240"/>
      <c r="P316" s="225" t="str">
        <f t="shared" si="18"/>
        <v/>
      </c>
      <c r="Q316" s="172"/>
    </row>
    <row r="317">
      <c r="A317" s="226" t="s">
        <v>54</v>
      </c>
      <c r="B317" s="159"/>
      <c r="C317" s="178"/>
      <c r="D317" s="179"/>
      <c r="E317" s="268"/>
      <c r="F317" s="163"/>
      <c r="G317" s="269"/>
      <c r="H317" s="235"/>
      <c r="J317" s="229" t="s">
        <v>54</v>
      </c>
      <c r="K317" s="274">
        <f t="shared" si="19"/>
        <v>308</v>
      </c>
      <c r="L317" s="237"/>
      <c r="M317" s="238"/>
      <c r="N317" s="239"/>
      <c r="O317" s="240"/>
      <c r="P317" s="225" t="str">
        <f t="shared" si="18"/>
        <v/>
      </c>
      <c r="Q317" s="172"/>
    </row>
    <row r="318">
      <c r="A318" s="226" t="s">
        <v>54</v>
      </c>
      <c r="B318" s="159"/>
      <c r="C318" s="178"/>
      <c r="D318" s="179"/>
      <c r="E318" s="268"/>
      <c r="F318" s="163"/>
      <c r="G318" s="269"/>
      <c r="H318" s="227"/>
      <c r="J318" s="229" t="s">
        <v>54</v>
      </c>
      <c r="K318" s="274">
        <f t="shared" si="19"/>
        <v>309</v>
      </c>
      <c r="L318" s="237"/>
      <c r="M318" s="238"/>
      <c r="N318" s="239"/>
      <c r="O318" s="240"/>
      <c r="P318" s="225" t="str">
        <f t="shared" si="18"/>
        <v/>
      </c>
      <c r="Q318" s="172"/>
    </row>
    <row r="319">
      <c r="A319" s="226" t="s">
        <v>54</v>
      </c>
      <c r="B319" s="159"/>
      <c r="C319" s="178"/>
      <c r="D319" s="179"/>
      <c r="E319" s="268"/>
      <c r="F319" s="163"/>
      <c r="G319" s="269"/>
      <c r="H319" s="235"/>
      <c r="J319" s="229" t="s">
        <v>54</v>
      </c>
      <c r="K319" s="274">
        <f t="shared" si="19"/>
        <v>310</v>
      </c>
      <c r="L319" s="237"/>
      <c r="M319" s="238"/>
      <c r="N319" s="239"/>
      <c r="O319" s="240"/>
      <c r="P319" s="225" t="str">
        <f t="shared" si="18"/>
        <v/>
      </c>
      <c r="Q319" s="172"/>
    </row>
    <row r="320">
      <c r="A320" s="226" t="s">
        <v>54</v>
      </c>
      <c r="B320" s="159"/>
      <c r="C320" s="178"/>
      <c r="D320" s="179"/>
      <c r="E320" s="268"/>
      <c r="F320" s="163"/>
      <c r="G320" s="269"/>
      <c r="H320" s="227"/>
      <c r="J320" s="229" t="s">
        <v>54</v>
      </c>
      <c r="K320" s="274">
        <f t="shared" si="19"/>
        <v>311</v>
      </c>
      <c r="L320" s="237"/>
      <c r="M320" s="238"/>
      <c r="N320" s="239"/>
      <c r="O320" s="240"/>
      <c r="P320" s="225" t="str">
        <f t="shared" si="18"/>
        <v/>
      </c>
      <c r="Q320" s="172"/>
    </row>
    <row r="321">
      <c r="A321" s="226" t="s">
        <v>54</v>
      </c>
      <c r="B321" s="159"/>
      <c r="C321" s="178"/>
      <c r="D321" s="179"/>
      <c r="E321" s="268"/>
      <c r="F321" s="163"/>
      <c r="G321" s="163"/>
      <c r="H321" s="235"/>
      <c r="J321" s="229" t="s">
        <v>54</v>
      </c>
      <c r="K321" s="278">
        <f t="shared" si="19"/>
        <v>312</v>
      </c>
      <c r="L321" s="243"/>
      <c r="M321" s="151"/>
      <c r="N321" s="244"/>
      <c r="O321" s="245"/>
      <c r="P321" s="225" t="str">
        <f t="shared" si="18"/>
        <v/>
      </c>
      <c r="Q321" s="172"/>
    </row>
    <row r="322">
      <c r="A322" s="226" t="s">
        <v>54</v>
      </c>
      <c r="B322" s="159"/>
      <c r="C322" s="178"/>
      <c r="D322" s="179"/>
      <c r="E322" s="268"/>
      <c r="F322" s="163"/>
      <c r="G322" s="163"/>
      <c r="H322" s="227"/>
      <c r="J322" s="229" t="s">
        <v>54</v>
      </c>
      <c r="K322" s="278">
        <f t="shared" si="19"/>
        <v>313</v>
      </c>
      <c r="L322" s="243"/>
      <c r="M322" s="151"/>
      <c r="N322" s="244"/>
      <c r="O322" s="245"/>
      <c r="P322" s="225" t="str">
        <f t="shared" si="18"/>
        <v/>
      </c>
      <c r="Q322" s="172"/>
    </row>
    <row r="323">
      <c r="A323" s="226" t="s">
        <v>54</v>
      </c>
      <c r="B323" s="159"/>
      <c r="C323" s="178"/>
      <c r="D323" s="179"/>
      <c r="E323" s="268"/>
      <c r="F323" s="163"/>
      <c r="G323" s="163"/>
      <c r="H323" s="235"/>
      <c r="J323" s="229" t="s">
        <v>54</v>
      </c>
      <c r="K323" s="278">
        <f t="shared" si="19"/>
        <v>314</v>
      </c>
      <c r="L323" s="243"/>
      <c r="M323" s="151"/>
      <c r="N323" s="244"/>
      <c r="O323" s="245"/>
      <c r="P323" s="225" t="str">
        <f t="shared" si="18"/>
        <v/>
      </c>
      <c r="Q323" s="172"/>
    </row>
    <row r="324">
      <c r="A324" s="226" t="s">
        <v>54</v>
      </c>
      <c r="B324" s="159"/>
      <c r="C324" s="178"/>
      <c r="D324" s="179"/>
      <c r="E324" s="268"/>
      <c r="F324" s="163"/>
      <c r="G324" s="163"/>
      <c r="H324" s="227"/>
      <c r="J324" s="229" t="s">
        <v>54</v>
      </c>
      <c r="K324" s="278">
        <f t="shared" si="19"/>
        <v>315</v>
      </c>
      <c r="L324" s="243"/>
      <c r="M324" s="151"/>
      <c r="N324" s="244"/>
      <c r="O324" s="245"/>
      <c r="P324" s="225" t="str">
        <f t="shared" si="18"/>
        <v/>
      </c>
      <c r="Q324" s="172"/>
    </row>
    <row r="325">
      <c r="A325" s="226" t="s">
        <v>54</v>
      </c>
      <c r="B325" s="159"/>
      <c r="C325" s="178"/>
      <c r="D325" s="179"/>
      <c r="E325" s="268"/>
      <c r="F325" s="163"/>
      <c r="G325" s="163"/>
      <c r="H325" s="235"/>
      <c r="J325" s="229" t="s">
        <v>54</v>
      </c>
      <c r="K325" s="278">
        <f t="shared" si="19"/>
        <v>316</v>
      </c>
      <c r="L325" s="243"/>
      <c r="M325" s="151"/>
      <c r="N325" s="244"/>
      <c r="O325" s="245"/>
      <c r="P325" s="225" t="str">
        <f t="shared" si="18"/>
        <v/>
      </c>
      <c r="Q325" s="172"/>
    </row>
    <row r="326">
      <c r="A326" s="226" t="s">
        <v>54</v>
      </c>
      <c r="B326" s="159"/>
      <c r="C326" s="178"/>
      <c r="D326" s="179"/>
      <c r="E326" s="268"/>
      <c r="F326" s="163"/>
      <c r="G326" s="163"/>
      <c r="H326" s="227"/>
      <c r="J326" s="229" t="s">
        <v>54</v>
      </c>
      <c r="K326" s="278">
        <f t="shared" si="19"/>
        <v>317</v>
      </c>
      <c r="L326" s="243"/>
      <c r="M326" s="151"/>
      <c r="N326" s="244"/>
      <c r="O326" s="245"/>
      <c r="P326" s="225" t="str">
        <f t="shared" si="18"/>
        <v/>
      </c>
      <c r="Q326" s="172"/>
    </row>
    <row r="327">
      <c r="A327" s="226" t="s">
        <v>54</v>
      </c>
      <c r="B327" s="159"/>
      <c r="C327" s="178"/>
      <c r="D327" s="179"/>
      <c r="E327" s="268"/>
      <c r="F327" s="163"/>
      <c r="G327" s="163"/>
      <c r="H327" s="235"/>
      <c r="J327" s="229" t="s">
        <v>54</v>
      </c>
      <c r="K327" s="278">
        <f t="shared" si="19"/>
        <v>318</v>
      </c>
      <c r="L327" s="243"/>
      <c r="M327" s="151"/>
      <c r="N327" s="244"/>
      <c r="O327" s="245"/>
      <c r="P327" s="225" t="str">
        <f t="shared" si="18"/>
        <v/>
      </c>
      <c r="Q327" s="173"/>
    </row>
    <row r="328">
      <c r="A328" s="226" t="s">
        <v>54</v>
      </c>
      <c r="B328" s="159"/>
      <c r="C328" s="178"/>
      <c r="D328" s="179"/>
      <c r="E328" s="268"/>
      <c r="F328" s="163"/>
      <c r="G328" s="163"/>
      <c r="H328" s="227"/>
      <c r="J328" s="229" t="s">
        <v>54</v>
      </c>
      <c r="K328" s="278">
        <f t="shared" si="19"/>
        <v>319</v>
      </c>
      <c r="L328" s="243"/>
      <c r="M328" s="163"/>
      <c r="N328" s="223"/>
      <c r="O328" s="224"/>
      <c r="P328" s="225" t="str">
        <f t="shared" si="18"/>
        <v/>
      </c>
      <c r="Q328" s="173"/>
    </row>
    <row r="329">
      <c r="A329" s="226" t="s">
        <v>54</v>
      </c>
      <c r="B329" s="159"/>
      <c r="C329" s="178"/>
      <c r="D329" s="179"/>
      <c r="E329" s="268"/>
      <c r="F329" s="163"/>
      <c r="G329" s="163"/>
      <c r="H329" s="235"/>
      <c r="J329" s="229" t="s">
        <v>54</v>
      </c>
      <c r="K329" s="278">
        <f t="shared" si="19"/>
        <v>320</v>
      </c>
      <c r="L329" s="243"/>
      <c r="M329" s="163"/>
      <c r="N329" s="223"/>
      <c r="O329" s="224"/>
      <c r="P329" s="225" t="str">
        <f t="shared" si="18"/>
        <v/>
      </c>
      <c r="Q329" s="173"/>
    </row>
    <row r="330">
      <c r="A330" s="226" t="s">
        <v>54</v>
      </c>
      <c r="B330" s="159"/>
      <c r="C330" s="178"/>
      <c r="D330" s="179"/>
      <c r="E330" s="268"/>
      <c r="F330" s="163"/>
      <c r="G330" s="163"/>
      <c r="H330" s="227"/>
      <c r="J330" s="229" t="s">
        <v>54</v>
      </c>
      <c r="K330" s="278">
        <f t="shared" si="19"/>
        <v>321</v>
      </c>
      <c r="L330" s="243"/>
      <c r="M330" s="248"/>
      <c r="N330" s="223"/>
      <c r="O330" s="224"/>
      <c r="P330" s="225" t="str">
        <f t="shared" si="18"/>
        <v/>
      </c>
      <c r="Q330" s="173"/>
    </row>
    <row r="331">
      <c r="A331" s="226" t="s">
        <v>54</v>
      </c>
      <c r="B331" s="159"/>
      <c r="C331" s="178"/>
      <c r="D331" s="179"/>
      <c r="E331" s="268"/>
      <c r="F331" s="163"/>
      <c r="G331" s="163"/>
      <c r="H331" s="235"/>
      <c r="J331" s="229" t="s">
        <v>54</v>
      </c>
      <c r="K331" s="278">
        <f t="shared" si="19"/>
        <v>322</v>
      </c>
      <c r="L331" s="243"/>
      <c r="M331" s="248"/>
      <c r="N331" s="223"/>
      <c r="O331" s="224"/>
      <c r="P331" s="225" t="str">
        <f t="shared" si="18"/>
        <v/>
      </c>
      <c r="Q331" s="173"/>
    </row>
    <row r="332">
      <c r="A332" s="226" t="s">
        <v>54</v>
      </c>
      <c r="B332" s="159"/>
      <c r="C332" s="178"/>
      <c r="D332" s="179"/>
      <c r="E332" s="268"/>
      <c r="F332" s="163"/>
      <c r="G332" s="163"/>
      <c r="H332" s="227"/>
      <c r="J332" s="229" t="s">
        <v>54</v>
      </c>
      <c r="K332" s="278">
        <f t="shared" si="19"/>
        <v>323</v>
      </c>
      <c r="L332" s="243"/>
      <c r="M332" s="248"/>
      <c r="N332" s="223"/>
      <c r="O332" s="224"/>
      <c r="P332" s="225" t="str">
        <f t="shared" si="18"/>
        <v/>
      </c>
      <c r="Q332" s="173"/>
    </row>
    <row r="333">
      <c r="A333" s="226" t="s">
        <v>54</v>
      </c>
      <c r="B333" s="159"/>
      <c r="C333" s="178"/>
      <c r="D333" s="179"/>
      <c r="E333" s="268"/>
      <c r="F333" s="163"/>
      <c r="G333" s="163"/>
      <c r="H333" s="235"/>
      <c r="J333" s="229" t="s">
        <v>54</v>
      </c>
      <c r="K333" s="278">
        <f t="shared" si="19"/>
        <v>324</v>
      </c>
      <c r="L333" s="243"/>
      <c r="M333" s="249"/>
      <c r="N333" s="244"/>
      <c r="O333" s="245"/>
      <c r="P333" s="225" t="str">
        <f t="shared" si="18"/>
        <v/>
      </c>
      <c r="Q333" s="173"/>
    </row>
    <row r="334">
      <c r="A334" s="226" t="s">
        <v>54</v>
      </c>
      <c r="B334" s="159"/>
      <c r="C334" s="178"/>
      <c r="D334" s="179"/>
      <c r="E334" s="268"/>
      <c r="F334" s="163"/>
      <c r="G334" s="163"/>
      <c r="H334" s="227"/>
      <c r="J334" s="229" t="s">
        <v>54</v>
      </c>
      <c r="K334" s="278">
        <f t="shared" si="19"/>
        <v>325</v>
      </c>
      <c r="L334" s="243"/>
      <c r="M334" s="249"/>
      <c r="N334" s="244"/>
      <c r="O334" s="245"/>
      <c r="P334" s="225" t="str">
        <f t="shared" si="18"/>
        <v/>
      </c>
      <c r="Q334" s="173"/>
    </row>
    <row r="335">
      <c r="A335" s="226" t="s">
        <v>54</v>
      </c>
      <c r="B335" s="159"/>
      <c r="C335" s="178"/>
      <c r="D335" s="179"/>
      <c r="E335" s="268"/>
      <c r="F335" s="163"/>
      <c r="G335" s="163"/>
      <c r="H335" s="235"/>
      <c r="J335" s="229" t="s">
        <v>54</v>
      </c>
      <c r="K335" s="278">
        <f t="shared" si="19"/>
        <v>326</v>
      </c>
      <c r="L335" s="243"/>
      <c r="M335" s="249"/>
      <c r="N335" s="244"/>
      <c r="O335" s="245"/>
      <c r="P335" s="225" t="str">
        <f t="shared" si="18"/>
        <v/>
      </c>
      <c r="Q335" s="173"/>
    </row>
    <row r="336">
      <c r="A336" s="226" t="s">
        <v>54</v>
      </c>
      <c r="B336" s="159"/>
      <c r="C336" s="178"/>
      <c r="D336" s="179"/>
      <c r="E336" s="268"/>
      <c r="F336" s="163"/>
      <c r="G336" s="163"/>
      <c r="H336" s="227"/>
      <c r="J336" s="229" t="s">
        <v>54</v>
      </c>
      <c r="K336" s="278">
        <f t="shared" si="19"/>
        <v>327</v>
      </c>
      <c r="L336" s="243"/>
      <c r="M336" s="248"/>
      <c r="N336" s="244"/>
      <c r="O336" s="224"/>
      <c r="P336" s="225" t="str">
        <f t="shared" si="18"/>
        <v/>
      </c>
      <c r="Q336" s="173"/>
    </row>
    <row r="337">
      <c r="A337" s="250" t="s">
        <v>54</v>
      </c>
      <c r="B337" s="193"/>
      <c r="C337" s="194"/>
      <c r="D337" s="195"/>
      <c r="E337" s="270"/>
      <c r="F337" s="197"/>
      <c r="G337" s="197"/>
      <c r="H337" s="251"/>
      <c r="J337" s="252" t="s">
        <v>54</v>
      </c>
      <c r="K337" s="279">
        <f t="shared" si="19"/>
        <v>328</v>
      </c>
      <c r="L337" s="253"/>
      <c r="M337" s="254"/>
      <c r="N337" s="255"/>
      <c r="O337" s="256"/>
      <c r="P337" s="225" t="str">
        <f t="shared" si="18"/>
        <v/>
      </c>
      <c r="Q337" s="258"/>
    </row>
    <row r="338">
      <c r="K338" s="273"/>
      <c r="N338" s="177"/>
      <c r="O338" s="273"/>
      <c r="P338" s="280"/>
    </row>
    <row r="339">
      <c r="A339" s="215" t="s">
        <v>55</v>
      </c>
      <c r="B339" s="187" t="s">
        <v>75</v>
      </c>
      <c r="C339" s="188">
        <v>44077.0</v>
      </c>
      <c r="D339" s="189" t="s">
        <v>288</v>
      </c>
      <c r="E339" s="261">
        <v>64.8</v>
      </c>
      <c r="F339" s="153" t="s">
        <v>14</v>
      </c>
      <c r="G339" s="153" t="s">
        <v>16</v>
      </c>
      <c r="H339" s="217"/>
      <c r="J339" s="219" t="s">
        <v>55</v>
      </c>
      <c r="K339" s="262">
        <f>K337+1</f>
        <v>329</v>
      </c>
      <c r="L339" s="263">
        <v>44089.0</v>
      </c>
      <c r="M339" s="264" t="s">
        <v>289</v>
      </c>
      <c r="N339" s="265">
        <v>977.5</v>
      </c>
      <c r="O339" s="266">
        <v>12.0</v>
      </c>
      <c r="P339" s="225">
        <f>iferror($N339/$O339,"")</f>
        <v>81.45833333</v>
      </c>
      <c r="Q339" s="191" t="s">
        <v>14</v>
      </c>
    </row>
    <row r="340">
      <c r="A340" s="226" t="s">
        <v>55</v>
      </c>
      <c r="B340" s="159" t="s">
        <v>105</v>
      </c>
      <c r="C340" s="178">
        <v>44088.0</v>
      </c>
      <c r="D340" s="179" t="s">
        <v>290</v>
      </c>
      <c r="E340" s="268">
        <v>10.0</v>
      </c>
      <c r="F340" s="163" t="s">
        <v>14</v>
      </c>
      <c r="G340" s="163" t="s">
        <v>16</v>
      </c>
      <c r="H340" s="227"/>
      <c r="J340" s="229" t="s">
        <v>55</v>
      </c>
      <c r="K340" s="230">
        <f t="shared" ref="K340:K379" si="20">K339+1</f>
        <v>330</v>
      </c>
      <c r="L340" s="231">
        <v>44104.0</v>
      </c>
      <c r="M340" s="232" t="s">
        <v>291</v>
      </c>
      <c r="N340" s="233">
        <v>52.0</v>
      </c>
      <c r="O340" s="234">
        <v>1.0</v>
      </c>
      <c r="P340" s="225">
        <v>52.0</v>
      </c>
      <c r="Q340" s="172" t="s">
        <v>14</v>
      </c>
    </row>
    <row r="341">
      <c r="A341" s="226" t="s">
        <v>55</v>
      </c>
      <c r="B341" s="159" t="s">
        <v>75</v>
      </c>
      <c r="C341" s="178">
        <v>44095.0</v>
      </c>
      <c r="D341" s="179" t="s">
        <v>292</v>
      </c>
      <c r="E341" s="268">
        <v>4.69</v>
      </c>
      <c r="F341" s="163" t="s">
        <v>14</v>
      </c>
      <c r="G341" s="163" t="s">
        <v>16</v>
      </c>
      <c r="H341" s="235"/>
      <c r="J341" s="229" t="s">
        <v>55</v>
      </c>
      <c r="K341" s="230">
        <f t="shared" si="20"/>
        <v>331</v>
      </c>
      <c r="L341" s="231"/>
      <c r="M341" s="232"/>
      <c r="N341" s="233"/>
      <c r="O341" s="234"/>
      <c r="P341" s="225"/>
      <c r="Q341" s="172"/>
    </row>
    <row r="342">
      <c r="A342" s="226" t="s">
        <v>55</v>
      </c>
      <c r="B342" s="159" t="s">
        <v>75</v>
      </c>
      <c r="C342" s="178">
        <v>44097.0</v>
      </c>
      <c r="D342" s="179" t="s">
        <v>254</v>
      </c>
      <c r="E342" s="268">
        <v>12.0</v>
      </c>
      <c r="F342" s="163" t="s">
        <v>26</v>
      </c>
      <c r="G342" s="163" t="s">
        <v>27</v>
      </c>
      <c r="H342" s="227"/>
      <c r="J342" s="229" t="s">
        <v>55</v>
      </c>
      <c r="K342" s="230">
        <f t="shared" si="20"/>
        <v>332</v>
      </c>
      <c r="L342" s="231"/>
      <c r="M342" s="232"/>
      <c r="N342" s="233"/>
      <c r="O342" s="234"/>
      <c r="P342" s="225"/>
      <c r="Q342" s="172"/>
    </row>
    <row r="343">
      <c r="A343" s="226" t="s">
        <v>55</v>
      </c>
      <c r="B343" s="159" t="s">
        <v>107</v>
      </c>
      <c r="C343" s="178">
        <v>44082.0</v>
      </c>
      <c r="D343" s="179" t="s">
        <v>223</v>
      </c>
      <c r="E343" s="268">
        <v>65.67</v>
      </c>
      <c r="F343" s="163" t="s">
        <v>14</v>
      </c>
      <c r="G343" s="163" t="s">
        <v>16</v>
      </c>
      <c r="H343" s="281" t="s">
        <v>17</v>
      </c>
      <c r="J343" s="229" t="s">
        <v>55</v>
      </c>
      <c r="K343" s="274">
        <f t="shared" si="20"/>
        <v>333</v>
      </c>
      <c r="L343" s="237"/>
      <c r="M343" s="238"/>
      <c r="N343" s="239"/>
      <c r="O343" s="240"/>
      <c r="P343" s="225" t="str">
        <f t="shared" ref="P343:P379" si="21">iferror($N343/$O343,"")</f>
        <v/>
      </c>
      <c r="Q343" s="172"/>
    </row>
    <row r="344">
      <c r="A344" s="226" t="s">
        <v>55</v>
      </c>
      <c r="B344" s="159" t="s">
        <v>75</v>
      </c>
      <c r="C344" s="178">
        <v>44086.0</v>
      </c>
      <c r="D344" s="179" t="s">
        <v>288</v>
      </c>
      <c r="E344" s="268">
        <v>46.0</v>
      </c>
      <c r="F344" s="163" t="s">
        <v>14</v>
      </c>
      <c r="G344" s="163" t="s">
        <v>16</v>
      </c>
      <c r="H344" s="227"/>
      <c r="J344" s="229" t="s">
        <v>55</v>
      </c>
      <c r="K344" s="274">
        <f t="shared" si="20"/>
        <v>334</v>
      </c>
      <c r="L344" s="237"/>
      <c r="M344" s="238"/>
      <c r="N344" s="239"/>
      <c r="O344" s="240"/>
      <c r="P344" s="225" t="str">
        <f t="shared" si="21"/>
        <v/>
      </c>
      <c r="Q344" s="172"/>
    </row>
    <row r="345">
      <c r="A345" s="226" t="s">
        <v>55</v>
      </c>
      <c r="B345" s="159"/>
      <c r="C345" s="178"/>
      <c r="D345" s="179"/>
      <c r="E345" s="268"/>
      <c r="F345" s="163"/>
      <c r="G345" s="163"/>
      <c r="H345" s="235"/>
      <c r="J345" s="229" t="s">
        <v>55</v>
      </c>
      <c r="K345" s="274">
        <f t="shared" si="20"/>
        <v>335</v>
      </c>
      <c r="L345" s="237"/>
      <c r="M345" s="238"/>
      <c r="N345" s="239"/>
      <c r="O345" s="240"/>
      <c r="P345" s="225" t="str">
        <f t="shared" si="21"/>
        <v/>
      </c>
      <c r="Q345" s="172"/>
    </row>
    <row r="346">
      <c r="A346" s="226" t="s">
        <v>55</v>
      </c>
      <c r="B346" s="159"/>
      <c r="C346" s="178"/>
      <c r="D346" s="179"/>
      <c r="E346" s="268"/>
      <c r="F346" s="163"/>
      <c r="G346" s="269"/>
      <c r="H346" s="227"/>
      <c r="J346" s="229" t="s">
        <v>55</v>
      </c>
      <c r="K346" s="274">
        <f t="shared" si="20"/>
        <v>336</v>
      </c>
      <c r="L346" s="237"/>
      <c r="M346" s="238"/>
      <c r="N346" s="239"/>
      <c r="O346" s="240"/>
      <c r="P346" s="225" t="str">
        <f t="shared" si="21"/>
        <v/>
      </c>
      <c r="Q346" s="172"/>
    </row>
    <row r="347">
      <c r="A347" s="226" t="s">
        <v>55</v>
      </c>
      <c r="B347" s="159"/>
      <c r="C347" s="178"/>
      <c r="D347" s="179"/>
      <c r="E347" s="268"/>
      <c r="F347" s="163"/>
      <c r="G347" s="269"/>
      <c r="H347" s="281"/>
      <c r="J347" s="229" t="s">
        <v>55</v>
      </c>
      <c r="K347" s="274">
        <f t="shared" si="20"/>
        <v>337</v>
      </c>
      <c r="L347" s="237"/>
      <c r="M347" s="238"/>
      <c r="N347" s="239"/>
      <c r="O347" s="240"/>
      <c r="P347" s="225" t="str">
        <f t="shared" si="21"/>
        <v/>
      </c>
      <c r="Q347" s="172"/>
    </row>
    <row r="348">
      <c r="A348" s="226" t="s">
        <v>55</v>
      </c>
      <c r="B348" s="159"/>
      <c r="C348" s="178"/>
      <c r="D348" s="179"/>
      <c r="E348" s="268"/>
      <c r="F348" s="163"/>
      <c r="G348" s="269"/>
      <c r="H348" s="247"/>
      <c r="J348" s="229" t="s">
        <v>55</v>
      </c>
      <c r="K348" s="274">
        <f t="shared" si="20"/>
        <v>338</v>
      </c>
      <c r="L348" s="237"/>
      <c r="M348" s="238"/>
      <c r="N348" s="239"/>
      <c r="O348" s="240"/>
      <c r="P348" s="225" t="str">
        <f t="shared" si="21"/>
        <v/>
      </c>
      <c r="Q348" s="172"/>
    </row>
    <row r="349">
      <c r="A349" s="226" t="s">
        <v>55</v>
      </c>
      <c r="B349" s="159"/>
      <c r="C349" s="178"/>
      <c r="D349" s="179"/>
      <c r="E349" s="268"/>
      <c r="F349" s="163"/>
      <c r="G349" s="269"/>
      <c r="H349" s="235"/>
      <c r="J349" s="229" t="s">
        <v>55</v>
      </c>
      <c r="K349" s="274">
        <f t="shared" si="20"/>
        <v>339</v>
      </c>
      <c r="L349" s="237"/>
      <c r="M349" s="238"/>
      <c r="N349" s="239"/>
      <c r="O349" s="240"/>
      <c r="P349" s="225" t="str">
        <f t="shared" si="21"/>
        <v/>
      </c>
      <c r="Q349" s="172"/>
    </row>
    <row r="350">
      <c r="A350" s="226" t="s">
        <v>55</v>
      </c>
      <c r="B350" s="159"/>
      <c r="C350" s="178"/>
      <c r="D350" s="179"/>
      <c r="E350" s="268"/>
      <c r="F350" s="163"/>
      <c r="G350" s="269"/>
      <c r="H350" s="227"/>
      <c r="J350" s="229" t="s">
        <v>55</v>
      </c>
      <c r="K350" s="274">
        <f t="shared" si="20"/>
        <v>340</v>
      </c>
      <c r="L350" s="237"/>
      <c r="M350" s="238"/>
      <c r="N350" s="239"/>
      <c r="O350" s="240"/>
      <c r="P350" s="225" t="str">
        <f t="shared" si="21"/>
        <v/>
      </c>
      <c r="Q350" s="172"/>
    </row>
    <row r="351">
      <c r="A351" s="226" t="s">
        <v>55</v>
      </c>
      <c r="B351" s="159"/>
      <c r="C351" s="178"/>
      <c r="D351" s="179"/>
      <c r="E351" s="268"/>
      <c r="F351" s="163"/>
      <c r="G351" s="269"/>
      <c r="H351" s="235"/>
      <c r="J351" s="229" t="s">
        <v>55</v>
      </c>
      <c r="K351" s="274">
        <f t="shared" si="20"/>
        <v>341</v>
      </c>
      <c r="L351" s="237"/>
      <c r="M351" s="238"/>
      <c r="N351" s="239"/>
      <c r="O351" s="240"/>
      <c r="P351" s="225" t="str">
        <f t="shared" si="21"/>
        <v/>
      </c>
      <c r="Q351" s="172"/>
    </row>
    <row r="352">
      <c r="A352" s="226" t="s">
        <v>55</v>
      </c>
      <c r="B352" s="159"/>
      <c r="C352" s="178"/>
      <c r="D352" s="179"/>
      <c r="E352" s="268"/>
      <c r="F352" s="163"/>
      <c r="G352" s="269"/>
      <c r="H352" s="227"/>
      <c r="J352" s="229" t="s">
        <v>55</v>
      </c>
      <c r="K352" s="274">
        <f t="shared" si="20"/>
        <v>342</v>
      </c>
      <c r="L352" s="237"/>
      <c r="M352" s="238"/>
      <c r="N352" s="239"/>
      <c r="O352" s="240"/>
      <c r="P352" s="225" t="str">
        <f t="shared" si="21"/>
        <v/>
      </c>
      <c r="Q352" s="172"/>
    </row>
    <row r="353">
      <c r="A353" s="226" t="s">
        <v>55</v>
      </c>
      <c r="B353" s="159"/>
      <c r="C353" s="178"/>
      <c r="D353" s="179"/>
      <c r="E353" s="268"/>
      <c r="F353" s="163"/>
      <c r="G353" s="269"/>
      <c r="H353" s="235"/>
      <c r="J353" s="229" t="s">
        <v>55</v>
      </c>
      <c r="K353" s="274">
        <f t="shared" si="20"/>
        <v>343</v>
      </c>
      <c r="L353" s="237"/>
      <c r="M353" s="238"/>
      <c r="N353" s="239"/>
      <c r="O353" s="240"/>
      <c r="P353" s="225" t="str">
        <f t="shared" si="21"/>
        <v/>
      </c>
      <c r="Q353" s="172"/>
    </row>
    <row r="354">
      <c r="A354" s="226" t="s">
        <v>55</v>
      </c>
      <c r="B354" s="159"/>
      <c r="C354" s="178"/>
      <c r="D354" s="179"/>
      <c r="E354" s="268"/>
      <c r="F354" s="163"/>
      <c r="G354" s="269"/>
      <c r="H354" s="227"/>
      <c r="J354" s="229" t="s">
        <v>55</v>
      </c>
      <c r="K354" s="274">
        <f t="shared" si="20"/>
        <v>344</v>
      </c>
      <c r="L354" s="237"/>
      <c r="M354" s="238"/>
      <c r="N354" s="239"/>
      <c r="O354" s="240"/>
      <c r="P354" s="225" t="str">
        <f t="shared" si="21"/>
        <v/>
      </c>
      <c r="Q354" s="172"/>
    </row>
    <row r="355">
      <c r="A355" s="226" t="s">
        <v>55</v>
      </c>
      <c r="B355" s="159"/>
      <c r="C355" s="178"/>
      <c r="D355" s="179"/>
      <c r="E355" s="268"/>
      <c r="F355" s="163"/>
      <c r="G355" s="269"/>
      <c r="H355" s="235"/>
      <c r="J355" s="229" t="s">
        <v>55</v>
      </c>
      <c r="K355" s="274">
        <f t="shared" si="20"/>
        <v>345</v>
      </c>
      <c r="L355" s="237"/>
      <c r="M355" s="238"/>
      <c r="N355" s="239"/>
      <c r="O355" s="240"/>
      <c r="P355" s="225" t="str">
        <f t="shared" si="21"/>
        <v/>
      </c>
      <c r="Q355" s="172"/>
    </row>
    <row r="356">
      <c r="A356" s="226" t="s">
        <v>55</v>
      </c>
      <c r="B356" s="159"/>
      <c r="C356" s="178"/>
      <c r="D356" s="179"/>
      <c r="E356" s="268"/>
      <c r="F356" s="163"/>
      <c r="G356" s="269"/>
      <c r="H356" s="227"/>
      <c r="J356" s="229" t="s">
        <v>55</v>
      </c>
      <c r="K356" s="274">
        <f t="shared" si="20"/>
        <v>346</v>
      </c>
      <c r="L356" s="237"/>
      <c r="M356" s="238"/>
      <c r="N356" s="239"/>
      <c r="O356" s="240"/>
      <c r="P356" s="225" t="str">
        <f t="shared" si="21"/>
        <v/>
      </c>
      <c r="Q356" s="172"/>
    </row>
    <row r="357">
      <c r="A357" s="226" t="s">
        <v>55</v>
      </c>
      <c r="B357" s="159"/>
      <c r="C357" s="178"/>
      <c r="D357" s="179"/>
      <c r="E357" s="268"/>
      <c r="F357" s="163"/>
      <c r="G357" s="269"/>
      <c r="H357" s="235"/>
      <c r="J357" s="229" t="s">
        <v>55</v>
      </c>
      <c r="K357" s="274">
        <f t="shared" si="20"/>
        <v>347</v>
      </c>
      <c r="L357" s="237"/>
      <c r="M357" s="238"/>
      <c r="N357" s="239"/>
      <c r="O357" s="240"/>
      <c r="P357" s="225" t="str">
        <f t="shared" si="21"/>
        <v/>
      </c>
      <c r="Q357" s="172"/>
    </row>
    <row r="358">
      <c r="A358" s="226" t="s">
        <v>55</v>
      </c>
      <c r="B358" s="159"/>
      <c r="C358" s="178"/>
      <c r="D358" s="179"/>
      <c r="E358" s="268"/>
      <c r="F358" s="163"/>
      <c r="G358" s="269"/>
      <c r="H358" s="227"/>
      <c r="J358" s="229" t="s">
        <v>55</v>
      </c>
      <c r="K358" s="274">
        <f t="shared" si="20"/>
        <v>348</v>
      </c>
      <c r="L358" s="237"/>
      <c r="M358" s="238"/>
      <c r="N358" s="239"/>
      <c r="O358" s="240"/>
      <c r="P358" s="225" t="str">
        <f t="shared" si="21"/>
        <v/>
      </c>
      <c r="Q358" s="172"/>
    </row>
    <row r="359">
      <c r="A359" s="226" t="s">
        <v>55</v>
      </c>
      <c r="B359" s="159"/>
      <c r="C359" s="178"/>
      <c r="D359" s="179"/>
      <c r="E359" s="268"/>
      <c r="F359" s="163"/>
      <c r="G359" s="269"/>
      <c r="H359" s="235"/>
      <c r="J359" s="229" t="s">
        <v>55</v>
      </c>
      <c r="K359" s="274">
        <f t="shared" si="20"/>
        <v>349</v>
      </c>
      <c r="L359" s="237"/>
      <c r="M359" s="238"/>
      <c r="N359" s="239"/>
      <c r="O359" s="240"/>
      <c r="P359" s="225" t="str">
        <f t="shared" si="21"/>
        <v/>
      </c>
      <c r="Q359" s="172"/>
    </row>
    <row r="360">
      <c r="A360" s="226" t="s">
        <v>55</v>
      </c>
      <c r="B360" s="159"/>
      <c r="C360" s="178"/>
      <c r="D360" s="179"/>
      <c r="E360" s="268"/>
      <c r="F360" s="163"/>
      <c r="G360" s="269"/>
      <c r="H360" s="227"/>
      <c r="J360" s="229" t="s">
        <v>55</v>
      </c>
      <c r="K360" s="274">
        <f t="shared" si="20"/>
        <v>350</v>
      </c>
      <c r="L360" s="237"/>
      <c r="M360" s="238"/>
      <c r="N360" s="239"/>
      <c r="O360" s="240"/>
      <c r="P360" s="225" t="str">
        <f t="shared" si="21"/>
        <v/>
      </c>
      <c r="Q360" s="172"/>
    </row>
    <row r="361">
      <c r="A361" s="226" t="s">
        <v>55</v>
      </c>
      <c r="B361" s="159"/>
      <c r="C361" s="178"/>
      <c r="D361" s="179"/>
      <c r="E361" s="268"/>
      <c r="F361" s="163"/>
      <c r="G361" s="269"/>
      <c r="H361" s="235"/>
      <c r="J361" s="229" t="s">
        <v>55</v>
      </c>
      <c r="K361" s="274">
        <f t="shared" si="20"/>
        <v>351</v>
      </c>
      <c r="L361" s="237"/>
      <c r="M361" s="238"/>
      <c r="N361" s="239"/>
      <c r="O361" s="240"/>
      <c r="P361" s="225" t="str">
        <f t="shared" si="21"/>
        <v/>
      </c>
      <c r="Q361" s="172"/>
    </row>
    <row r="362">
      <c r="A362" s="226" t="s">
        <v>55</v>
      </c>
      <c r="B362" s="159"/>
      <c r="C362" s="178"/>
      <c r="D362" s="179"/>
      <c r="E362" s="268"/>
      <c r="F362" s="163"/>
      <c r="G362" s="269"/>
      <c r="H362" s="227"/>
      <c r="J362" s="229" t="s">
        <v>55</v>
      </c>
      <c r="K362" s="274">
        <f t="shared" si="20"/>
        <v>352</v>
      </c>
      <c r="L362" s="237"/>
      <c r="M362" s="238"/>
      <c r="N362" s="239"/>
      <c r="O362" s="240"/>
      <c r="P362" s="225" t="str">
        <f t="shared" si="21"/>
        <v/>
      </c>
      <c r="Q362" s="172"/>
    </row>
    <row r="363">
      <c r="A363" s="226" t="s">
        <v>55</v>
      </c>
      <c r="B363" s="159"/>
      <c r="C363" s="178"/>
      <c r="D363" s="179"/>
      <c r="E363" s="268"/>
      <c r="F363" s="163"/>
      <c r="G363" s="163"/>
      <c r="H363" s="235"/>
      <c r="J363" s="229" t="s">
        <v>55</v>
      </c>
      <c r="K363" s="278">
        <f t="shared" si="20"/>
        <v>353</v>
      </c>
      <c r="L363" s="243"/>
      <c r="M363" s="151"/>
      <c r="N363" s="244"/>
      <c r="O363" s="245"/>
      <c r="P363" s="225" t="str">
        <f t="shared" si="21"/>
        <v/>
      </c>
      <c r="Q363" s="172"/>
    </row>
    <row r="364">
      <c r="A364" s="226" t="s">
        <v>55</v>
      </c>
      <c r="B364" s="159"/>
      <c r="C364" s="178"/>
      <c r="D364" s="179"/>
      <c r="E364" s="268"/>
      <c r="F364" s="163"/>
      <c r="G364" s="163"/>
      <c r="H364" s="227"/>
      <c r="J364" s="229" t="s">
        <v>55</v>
      </c>
      <c r="K364" s="278">
        <f t="shared" si="20"/>
        <v>354</v>
      </c>
      <c r="L364" s="243"/>
      <c r="M364" s="151"/>
      <c r="N364" s="244"/>
      <c r="O364" s="245"/>
      <c r="P364" s="225" t="str">
        <f t="shared" si="21"/>
        <v/>
      </c>
      <c r="Q364" s="172"/>
    </row>
    <row r="365">
      <c r="A365" s="226" t="s">
        <v>55</v>
      </c>
      <c r="B365" s="159"/>
      <c r="C365" s="178"/>
      <c r="D365" s="179"/>
      <c r="E365" s="268"/>
      <c r="F365" s="163"/>
      <c r="G365" s="163"/>
      <c r="H365" s="235"/>
      <c r="J365" s="229" t="s">
        <v>55</v>
      </c>
      <c r="K365" s="278">
        <f t="shared" si="20"/>
        <v>355</v>
      </c>
      <c r="L365" s="243"/>
      <c r="M365" s="151"/>
      <c r="N365" s="244"/>
      <c r="O365" s="245"/>
      <c r="P365" s="225" t="str">
        <f t="shared" si="21"/>
        <v/>
      </c>
      <c r="Q365" s="172"/>
    </row>
    <row r="366">
      <c r="A366" s="226" t="s">
        <v>55</v>
      </c>
      <c r="B366" s="159"/>
      <c r="C366" s="178"/>
      <c r="D366" s="179"/>
      <c r="E366" s="268"/>
      <c r="F366" s="163"/>
      <c r="G366" s="163"/>
      <c r="H366" s="227"/>
      <c r="J366" s="229" t="s">
        <v>55</v>
      </c>
      <c r="K366" s="278">
        <f t="shared" si="20"/>
        <v>356</v>
      </c>
      <c r="L366" s="243"/>
      <c r="M366" s="151"/>
      <c r="N366" s="244"/>
      <c r="O366" s="245"/>
      <c r="P366" s="225" t="str">
        <f t="shared" si="21"/>
        <v/>
      </c>
      <c r="Q366" s="172"/>
    </row>
    <row r="367">
      <c r="A367" s="226" t="s">
        <v>55</v>
      </c>
      <c r="B367" s="159"/>
      <c r="C367" s="178"/>
      <c r="D367" s="179"/>
      <c r="E367" s="268"/>
      <c r="F367" s="163"/>
      <c r="G367" s="163"/>
      <c r="H367" s="235"/>
      <c r="J367" s="229" t="s">
        <v>55</v>
      </c>
      <c r="K367" s="278">
        <f t="shared" si="20"/>
        <v>357</v>
      </c>
      <c r="L367" s="243"/>
      <c r="M367" s="151"/>
      <c r="N367" s="244"/>
      <c r="O367" s="245"/>
      <c r="P367" s="225" t="str">
        <f t="shared" si="21"/>
        <v/>
      </c>
      <c r="Q367" s="172"/>
    </row>
    <row r="368">
      <c r="A368" s="226" t="s">
        <v>55</v>
      </c>
      <c r="B368" s="159"/>
      <c r="C368" s="178"/>
      <c r="D368" s="179"/>
      <c r="E368" s="268"/>
      <c r="F368" s="163"/>
      <c r="G368" s="163"/>
      <c r="H368" s="227"/>
      <c r="J368" s="229" t="s">
        <v>55</v>
      </c>
      <c r="K368" s="278">
        <f t="shared" si="20"/>
        <v>358</v>
      </c>
      <c r="L368" s="243"/>
      <c r="M368" s="151"/>
      <c r="N368" s="244"/>
      <c r="O368" s="245"/>
      <c r="P368" s="225" t="str">
        <f t="shared" si="21"/>
        <v/>
      </c>
      <c r="Q368" s="172"/>
    </row>
    <row r="369">
      <c r="A369" s="226" t="s">
        <v>55</v>
      </c>
      <c r="B369" s="159"/>
      <c r="C369" s="178"/>
      <c r="D369" s="179"/>
      <c r="E369" s="268"/>
      <c r="F369" s="163"/>
      <c r="G369" s="163"/>
      <c r="H369" s="235"/>
      <c r="J369" s="229" t="s">
        <v>55</v>
      </c>
      <c r="K369" s="278">
        <f t="shared" si="20"/>
        <v>359</v>
      </c>
      <c r="L369" s="243"/>
      <c r="M369" s="151"/>
      <c r="N369" s="244"/>
      <c r="O369" s="245"/>
      <c r="P369" s="225" t="str">
        <f t="shared" si="21"/>
        <v/>
      </c>
      <c r="Q369" s="173"/>
    </row>
    <row r="370">
      <c r="A370" s="226" t="s">
        <v>55</v>
      </c>
      <c r="B370" s="159"/>
      <c r="C370" s="178"/>
      <c r="D370" s="179"/>
      <c r="E370" s="268"/>
      <c r="F370" s="163"/>
      <c r="G370" s="163"/>
      <c r="H370" s="227"/>
      <c r="J370" s="229" t="s">
        <v>55</v>
      </c>
      <c r="K370" s="278">
        <f t="shared" si="20"/>
        <v>360</v>
      </c>
      <c r="L370" s="243"/>
      <c r="M370" s="163"/>
      <c r="N370" s="223"/>
      <c r="O370" s="224"/>
      <c r="P370" s="225" t="str">
        <f t="shared" si="21"/>
        <v/>
      </c>
      <c r="Q370" s="173"/>
    </row>
    <row r="371">
      <c r="A371" s="226" t="s">
        <v>55</v>
      </c>
      <c r="B371" s="159"/>
      <c r="C371" s="178"/>
      <c r="D371" s="179"/>
      <c r="E371" s="268"/>
      <c r="F371" s="163"/>
      <c r="G371" s="163"/>
      <c r="H371" s="235"/>
      <c r="J371" s="229" t="s">
        <v>55</v>
      </c>
      <c r="K371" s="278">
        <f t="shared" si="20"/>
        <v>361</v>
      </c>
      <c r="L371" s="243"/>
      <c r="M371" s="163"/>
      <c r="N371" s="223"/>
      <c r="O371" s="224"/>
      <c r="P371" s="225" t="str">
        <f t="shared" si="21"/>
        <v/>
      </c>
      <c r="Q371" s="173"/>
    </row>
    <row r="372">
      <c r="A372" s="226" t="s">
        <v>55</v>
      </c>
      <c r="B372" s="159"/>
      <c r="C372" s="178"/>
      <c r="D372" s="179"/>
      <c r="E372" s="268"/>
      <c r="F372" s="163"/>
      <c r="G372" s="163"/>
      <c r="H372" s="227"/>
      <c r="J372" s="229" t="s">
        <v>55</v>
      </c>
      <c r="K372" s="278">
        <f t="shared" si="20"/>
        <v>362</v>
      </c>
      <c r="L372" s="243"/>
      <c r="M372" s="248"/>
      <c r="N372" s="223"/>
      <c r="O372" s="224"/>
      <c r="P372" s="225" t="str">
        <f t="shared" si="21"/>
        <v/>
      </c>
      <c r="Q372" s="173"/>
    </row>
    <row r="373">
      <c r="A373" s="226" t="s">
        <v>55</v>
      </c>
      <c r="B373" s="159"/>
      <c r="C373" s="178"/>
      <c r="D373" s="179"/>
      <c r="E373" s="268"/>
      <c r="F373" s="163"/>
      <c r="G373" s="163"/>
      <c r="H373" s="235"/>
      <c r="J373" s="229" t="s">
        <v>55</v>
      </c>
      <c r="K373" s="278">
        <f t="shared" si="20"/>
        <v>363</v>
      </c>
      <c r="L373" s="243"/>
      <c r="M373" s="248"/>
      <c r="N373" s="223"/>
      <c r="O373" s="224"/>
      <c r="P373" s="225" t="str">
        <f t="shared" si="21"/>
        <v/>
      </c>
      <c r="Q373" s="173"/>
    </row>
    <row r="374">
      <c r="A374" s="226" t="s">
        <v>55</v>
      </c>
      <c r="B374" s="159"/>
      <c r="C374" s="178"/>
      <c r="D374" s="179"/>
      <c r="E374" s="268"/>
      <c r="F374" s="163"/>
      <c r="G374" s="163"/>
      <c r="H374" s="227"/>
      <c r="J374" s="229" t="s">
        <v>55</v>
      </c>
      <c r="K374" s="278">
        <f t="shared" si="20"/>
        <v>364</v>
      </c>
      <c r="L374" s="243"/>
      <c r="M374" s="248"/>
      <c r="N374" s="223"/>
      <c r="O374" s="224"/>
      <c r="P374" s="225" t="str">
        <f t="shared" si="21"/>
        <v/>
      </c>
      <c r="Q374" s="173"/>
    </row>
    <row r="375">
      <c r="A375" s="226" t="s">
        <v>55</v>
      </c>
      <c r="B375" s="159"/>
      <c r="C375" s="178"/>
      <c r="D375" s="179"/>
      <c r="E375" s="268"/>
      <c r="F375" s="163"/>
      <c r="G375" s="163"/>
      <c r="H375" s="235"/>
      <c r="J375" s="229" t="s">
        <v>55</v>
      </c>
      <c r="K375" s="278">
        <f t="shared" si="20"/>
        <v>365</v>
      </c>
      <c r="L375" s="243"/>
      <c r="M375" s="249"/>
      <c r="N375" s="244"/>
      <c r="O375" s="245"/>
      <c r="P375" s="225" t="str">
        <f t="shared" si="21"/>
        <v/>
      </c>
      <c r="Q375" s="173"/>
    </row>
    <row r="376">
      <c r="A376" s="226" t="s">
        <v>55</v>
      </c>
      <c r="B376" s="159"/>
      <c r="C376" s="178"/>
      <c r="D376" s="179"/>
      <c r="E376" s="268"/>
      <c r="F376" s="163"/>
      <c r="G376" s="163"/>
      <c r="H376" s="227"/>
      <c r="J376" s="229" t="s">
        <v>55</v>
      </c>
      <c r="K376" s="278">
        <f t="shared" si="20"/>
        <v>366</v>
      </c>
      <c r="L376" s="243"/>
      <c r="M376" s="249"/>
      <c r="N376" s="244"/>
      <c r="O376" s="245"/>
      <c r="P376" s="225" t="str">
        <f t="shared" si="21"/>
        <v/>
      </c>
      <c r="Q376" s="173"/>
    </row>
    <row r="377">
      <c r="A377" s="226" t="s">
        <v>55</v>
      </c>
      <c r="B377" s="159"/>
      <c r="C377" s="178"/>
      <c r="D377" s="179"/>
      <c r="E377" s="268"/>
      <c r="F377" s="163"/>
      <c r="G377" s="163"/>
      <c r="H377" s="235"/>
      <c r="J377" s="229" t="s">
        <v>55</v>
      </c>
      <c r="K377" s="278">
        <f t="shared" si="20"/>
        <v>367</v>
      </c>
      <c r="L377" s="243"/>
      <c r="M377" s="249"/>
      <c r="N377" s="244"/>
      <c r="O377" s="245"/>
      <c r="P377" s="225" t="str">
        <f t="shared" si="21"/>
        <v/>
      </c>
      <c r="Q377" s="173"/>
    </row>
    <row r="378">
      <c r="A378" s="226" t="s">
        <v>55</v>
      </c>
      <c r="B378" s="159"/>
      <c r="C378" s="178"/>
      <c r="D378" s="179"/>
      <c r="E378" s="268"/>
      <c r="F378" s="163"/>
      <c r="G378" s="163"/>
      <c r="H378" s="227"/>
      <c r="J378" s="229" t="s">
        <v>55</v>
      </c>
      <c r="K378" s="278">
        <f t="shared" si="20"/>
        <v>368</v>
      </c>
      <c r="L378" s="243"/>
      <c r="M378" s="248"/>
      <c r="N378" s="244"/>
      <c r="O378" s="224"/>
      <c r="P378" s="225" t="str">
        <f t="shared" si="21"/>
        <v/>
      </c>
      <c r="Q378" s="173"/>
    </row>
    <row r="379">
      <c r="A379" s="250" t="s">
        <v>55</v>
      </c>
      <c r="B379" s="193"/>
      <c r="C379" s="194"/>
      <c r="D379" s="195"/>
      <c r="E379" s="270"/>
      <c r="F379" s="197"/>
      <c r="G379" s="197"/>
      <c r="H379" s="251"/>
      <c r="J379" s="252" t="s">
        <v>55</v>
      </c>
      <c r="K379" s="279">
        <f t="shared" si="20"/>
        <v>369</v>
      </c>
      <c r="L379" s="253"/>
      <c r="M379" s="254"/>
      <c r="N379" s="255"/>
      <c r="O379" s="256"/>
      <c r="P379" s="225" t="str">
        <f t="shared" si="21"/>
        <v/>
      </c>
      <c r="Q379" s="258"/>
    </row>
    <row r="380">
      <c r="K380" s="273"/>
      <c r="N380" s="177"/>
      <c r="O380" s="273"/>
      <c r="P380" s="280"/>
    </row>
    <row r="381">
      <c r="A381" s="215" t="s">
        <v>56</v>
      </c>
      <c r="B381" s="187" t="s">
        <v>82</v>
      </c>
      <c r="C381" s="188">
        <v>44105.0</v>
      </c>
      <c r="D381" s="189" t="s">
        <v>163</v>
      </c>
      <c r="E381" s="282">
        <v>279.99</v>
      </c>
      <c r="F381" s="153" t="s">
        <v>26</v>
      </c>
      <c r="G381" s="153" t="s">
        <v>27</v>
      </c>
      <c r="H381" s="217"/>
      <c r="J381" s="219" t="s">
        <v>56</v>
      </c>
      <c r="K381" s="262">
        <f>K379+1</f>
        <v>370</v>
      </c>
      <c r="L381" s="263">
        <v>44131.0</v>
      </c>
      <c r="M381" s="264" t="s">
        <v>293</v>
      </c>
      <c r="N381" s="265">
        <v>1900.0</v>
      </c>
      <c r="O381" s="266">
        <v>12.0</v>
      </c>
      <c r="P381" s="225">
        <f t="shared" ref="P381:P421" si="22">IFERROR($N381/$O381,"")</f>
        <v>158.3333333</v>
      </c>
      <c r="Q381" s="191" t="s">
        <v>14</v>
      </c>
    </row>
    <row r="382">
      <c r="A382" s="226" t="s">
        <v>56</v>
      </c>
      <c r="B382" s="159" t="s">
        <v>97</v>
      </c>
      <c r="C382" s="178">
        <v>44106.0</v>
      </c>
      <c r="D382" s="179" t="s">
        <v>294</v>
      </c>
      <c r="E382" s="283">
        <v>2.0</v>
      </c>
      <c r="F382" s="163" t="s">
        <v>22</v>
      </c>
      <c r="G382" s="163" t="s">
        <v>24</v>
      </c>
      <c r="H382" s="227"/>
      <c r="J382" s="229" t="s">
        <v>56</v>
      </c>
      <c r="K382" s="230">
        <f t="shared" ref="K382:K421" si="23">K381+1</f>
        <v>371</v>
      </c>
      <c r="L382" s="231"/>
      <c r="M382" s="232"/>
      <c r="N382" s="233"/>
      <c r="O382" s="234"/>
      <c r="P382" s="225" t="str">
        <f t="shared" si="22"/>
        <v/>
      </c>
      <c r="Q382" s="172"/>
    </row>
    <row r="383">
      <c r="A383" s="226" t="s">
        <v>56</v>
      </c>
      <c r="B383" s="159" t="s">
        <v>75</v>
      </c>
      <c r="C383" s="178">
        <v>44105.0</v>
      </c>
      <c r="D383" s="179" t="s">
        <v>288</v>
      </c>
      <c r="E383" s="283">
        <v>29.9</v>
      </c>
      <c r="F383" s="163" t="s">
        <v>14</v>
      </c>
      <c r="G383" s="163" t="s">
        <v>16</v>
      </c>
      <c r="H383" s="235"/>
      <c r="J383" s="229" t="s">
        <v>56</v>
      </c>
      <c r="K383" s="230">
        <f t="shared" si="23"/>
        <v>372</v>
      </c>
      <c r="L383" s="231"/>
      <c r="M383" s="232"/>
      <c r="N383" s="233"/>
      <c r="O383" s="234"/>
      <c r="P383" s="225" t="str">
        <f t="shared" si="22"/>
        <v/>
      </c>
      <c r="Q383" s="172"/>
    </row>
    <row r="384">
      <c r="A384" s="226" t="s">
        <v>56</v>
      </c>
      <c r="B384" s="159" t="s">
        <v>75</v>
      </c>
      <c r="C384" s="178">
        <v>44107.0</v>
      </c>
      <c r="D384" s="179" t="s">
        <v>288</v>
      </c>
      <c r="E384" s="268">
        <v>48.0</v>
      </c>
      <c r="F384" s="163" t="s">
        <v>22</v>
      </c>
      <c r="G384" s="163" t="s">
        <v>24</v>
      </c>
      <c r="H384" s="227"/>
      <c r="J384" s="229" t="s">
        <v>56</v>
      </c>
      <c r="K384" s="230">
        <f t="shared" si="23"/>
        <v>373</v>
      </c>
      <c r="L384" s="231"/>
      <c r="M384" s="232"/>
      <c r="N384" s="233"/>
      <c r="O384" s="234"/>
      <c r="P384" s="225" t="str">
        <f t="shared" si="22"/>
        <v/>
      </c>
      <c r="Q384" s="172"/>
    </row>
    <row r="385">
      <c r="A385" s="226" t="s">
        <v>56</v>
      </c>
      <c r="B385" s="159" t="s">
        <v>107</v>
      </c>
      <c r="C385" s="178">
        <v>44108.0</v>
      </c>
      <c r="D385" s="179" t="s">
        <v>223</v>
      </c>
      <c r="E385" s="268">
        <v>199.21</v>
      </c>
      <c r="F385" s="163" t="s">
        <v>14</v>
      </c>
      <c r="G385" s="163" t="s">
        <v>16</v>
      </c>
      <c r="H385" s="281" t="s">
        <v>17</v>
      </c>
      <c r="J385" s="229" t="s">
        <v>56</v>
      </c>
      <c r="K385" s="274">
        <f t="shared" si="23"/>
        <v>374</v>
      </c>
      <c r="L385" s="237"/>
      <c r="M385" s="238"/>
      <c r="N385" s="239"/>
      <c r="O385" s="240"/>
      <c r="P385" s="225" t="str">
        <f t="shared" si="22"/>
        <v/>
      </c>
      <c r="Q385" s="172"/>
    </row>
    <row r="386">
      <c r="A386" s="226" t="s">
        <v>56</v>
      </c>
      <c r="B386" s="159" t="s">
        <v>93</v>
      </c>
      <c r="C386" s="178">
        <v>44108.0</v>
      </c>
      <c r="D386" s="179" t="s">
        <v>295</v>
      </c>
      <c r="E386" s="268">
        <v>24.52</v>
      </c>
      <c r="F386" s="163" t="s">
        <v>14</v>
      </c>
      <c r="G386" s="163" t="s">
        <v>16</v>
      </c>
      <c r="H386" s="227"/>
      <c r="J386" s="229" t="s">
        <v>56</v>
      </c>
      <c r="K386" s="274">
        <f t="shared" si="23"/>
        <v>375</v>
      </c>
      <c r="L386" s="237"/>
      <c r="M386" s="238"/>
      <c r="N386" s="239"/>
      <c r="O386" s="240"/>
      <c r="P386" s="225" t="str">
        <f t="shared" si="22"/>
        <v/>
      </c>
      <c r="Q386" s="172"/>
    </row>
    <row r="387">
      <c r="A387" s="226" t="s">
        <v>56</v>
      </c>
      <c r="B387" s="159" t="s">
        <v>82</v>
      </c>
      <c r="C387" s="178">
        <v>44108.0</v>
      </c>
      <c r="D387" s="179" t="s">
        <v>168</v>
      </c>
      <c r="E387" s="268">
        <v>72.0</v>
      </c>
      <c r="F387" s="163" t="s">
        <v>22</v>
      </c>
      <c r="G387" s="163" t="s">
        <v>24</v>
      </c>
      <c r="H387" s="235"/>
      <c r="J387" s="229" t="s">
        <v>56</v>
      </c>
      <c r="K387" s="274">
        <f t="shared" si="23"/>
        <v>376</v>
      </c>
      <c r="L387" s="237"/>
      <c r="M387" s="238"/>
      <c r="N387" s="239"/>
      <c r="O387" s="240"/>
      <c r="P387" s="225" t="str">
        <f t="shared" si="22"/>
        <v/>
      </c>
      <c r="Q387" s="172"/>
    </row>
    <row r="388">
      <c r="A388" s="226" t="s">
        <v>56</v>
      </c>
      <c r="B388" s="159" t="s">
        <v>82</v>
      </c>
      <c r="C388" s="178">
        <v>44109.0</v>
      </c>
      <c r="D388" s="179" t="s">
        <v>169</v>
      </c>
      <c r="E388" s="268">
        <v>78.9</v>
      </c>
      <c r="F388" s="163" t="s">
        <v>26</v>
      </c>
      <c r="G388" s="163" t="s">
        <v>27</v>
      </c>
      <c r="H388" s="227"/>
      <c r="J388" s="229" t="s">
        <v>56</v>
      </c>
      <c r="K388" s="274">
        <f t="shared" si="23"/>
        <v>377</v>
      </c>
      <c r="L388" s="237"/>
      <c r="M388" s="238"/>
      <c r="N388" s="239"/>
      <c r="O388" s="240"/>
      <c r="P388" s="225" t="str">
        <f t="shared" si="22"/>
        <v/>
      </c>
      <c r="Q388" s="172"/>
    </row>
    <row r="389">
      <c r="A389" s="226" t="s">
        <v>56</v>
      </c>
      <c r="B389" s="159" t="s">
        <v>109</v>
      </c>
      <c r="C389" s="178">
        <v>44110.0</v>
      </c>
      <c r="D389" s="179" t="s">
        <v>296</v>
      </c>
      <c r="E389" s="268">
        <v>100.0</v>
      </c>
      <c r="F389" s="163" t="s">
        <v>22</v>
      </c>
      <c r="G389" s="163" t="s">
        <v>24</v>
      </c>
      <c r="H389" s="281"/>
      <c r="J389" s="229" t="s">
        <v>56</v>
      </c>
      <c r="K389" s="274">
        <f t="shared" si="23"/>
        <v>378</v>
      </c>
      <c r="L389" s="237"/>
      <c r="M389" s="238"/>
      <c r="N389" s="239"/>
      <c r="O389" s="240"/>
      <c r="P389" s="225" t="str">
        <f t="shared" si="22"/>
        <v/>
      </c>
      <c r="Q389" s="172"/>
    </row>
    <row r="390">
      <c r="A390" s="226" t="s">
        <v>56</v>
      </c>
      <c r="B390" s="159" t="s">
        <v>97</v>
      </c>
      <c r="C390" s="178">
        <v>44112.0</v>
      </c>
      <c r="D390" s="179" t="s">
        <v>294</v>
      </c>
      <c r="E390" s="268">
        <v>2.0</v>
      </c>
      <c r="F390" s="163" t="s">
        <v>22</v>
      </c>
      <c r="G390" s="163" t="s">
        <v>24</v>
      </c>
      <c r="H390" s="247"/>
      <c r="J390" s="229" t="s">
        <v>56</v>
      </c>
      <c r="K390" s="274">
        <f t="shared" si="23"/>
        <v>379</v>
      </c>
      <c r="L390" s="237"/>
      <c r="M390" s="238"/>
      <c r="N390" s="239"/>
      <c r="O390" s="240"/>
      <c r="P390" s="225" t="str">
        <f t="shared" si="22"/>
        <v/>
      </c>
      <c r="Q390" s="172"/>
    </row>
    <row r="391">
      <c r="A391" s="226" t="s">
        <v>56</v>
      </c>
      <c r="B391" s="159" t="s">
        <v>97</v>
      </c>
      <c r="C391" s="178">
        <v>44114.0</v>
      </c>
      <c r="D391" s="179" t="s">
        <v>297</v>
      </c>
      <c r="E391" s="268">
        <v>3.0</v>
      </c>
      <c r="F391" s="163" t="s">
        <v>22</v>
      </c>
      <c r="G391" s="163" t="s">
        <v>24</v>
      </c>
      <c r="H391" s="235"/>
      <c r="J391" s="229" t="s">
        <v>56</v>
      </c>
      <c r="K391" s="274">
        <f t="shared" si="23"/>
        <v>380</v>
      </c>
      <c r="L391" s="237"/>
      <c r="M391" s="238"/>
      <c r="N391" s="239"/>
      <c r="O391" s="240"/>
      <c r="P391" s="225" t="str">
        <f t="shared" si="22"/>
        <v/>
      </c>
      <c r="Q391" s="172"/>
      <c r="AB391" s="31" t="s">
        <v>298</v>
      </c>
    </row>
    <row r="392">
      <c r="A392" s="226" t="s">
        <v>56</v>
      </c>
      <c r="B392" s="159" t="s">
        <v>97</v>
      </c>
      <c r="C392" s="178">
        <v>44119.0</v>
      </c>
      <c r="D392" s="179" t="s">
        <v>299</v>
      </c>
      <c r="E392" s="268">
        <v>6.0</v>
      </c>
      <c r="F392" s="163" t="s">
        <v>26</v>
      </c>
      <c r="G392" s="163" t="s">
        <v>27</v>
      </c>
      <c r="H392" s="227"/>
      <c r="J392" s="229" t="s">
        <v>56</v>
      </c>
      <c r="K392" s="274">
        <f t="shared" si="23"/>
        <v>381</v>
      </c>
      <c r="L392" s="237"/>
      <c r="M392" s="238"/>
      <c r="N392" s="239"/>
      <c r="O392" s="240"/>
      <c r="P392" s="225" t="str">
        <f t="shared" si="22"/>
        <v/>
      </c>
      <c r="Q392" s="172"/>
    </row>
    <row r="393">
      <c r="A393" s="226" t="s">
        <v>56</v>
      </c>
      <c r="B393" s="159" t="s">
        <v>105</v>
      </c>
      <c r="C393" s="178">
        <v>44120.0</v>
      </c>
      <c r="D393" s="179" t="s">
        <v>300</v>
      </c>
      <c r="E393" s="268">
        <v>38.23</v>
      </c>
      <c r="F393" s="163" t="s">
        <v>14</v>
      </c>
      <c r="G393" s="163" t="s">
        <v>16</v>
      </c>
      <c r="H393" s="235"/>
      <c r="J393" s="229" t="s">
        <v>56</v>
      </c>
      <c r="K393" s="274">
        <f t="shared" si="23"/>
        <v>382</v>
      </c>
      <c r="L393" s="237"/>
      <c r="M393" s="238"/>
      <c r="N393" s="239"/>
      <c r="O393" s="240"/>
      <c r="P393" s="225" t="str">
        <f t="shared" si="22"/>
        <v/>
      </c>
      <c r="Q393" s="172"/>
    </row>
    <row r="394">
      <c r="A394" s="226" t="s">
        <v>56</v>
      </c>
      <c r="B394" s="159" t="s">
        <v>75</v>
      </c>
      <c r="C394" s="178">
        <v>44122.0</v>
      </c>
      <c r="D394" s="179" t="s">
        <v>301</v>
      </c>
      <c r="E394" s="268">
        <v>12.0</v>
      </c>
      <c r="F394" s="163" t="s">
        <v>22</v>
      </c>
      <c r="G394" s="163" t="s">
        <v>24</v>
      </c>
      <c r="H394" s="227"/>
      <c r="J394" s="229" t="s">
        <v>56</v>
      </c>
      <c r="K394" s="274">
        <f t="shared" si="23"/>
        <v>383</v>
      </c>
      <c r="L394" s="237"/>
      <c r="M394" s="238"/>
      <c r="N394" s="239"/>
      <c r="O394" s="240"/>
      <c r="P394" s="225" t="str">
        <f t="shared" si="22"/>
        <v/>
      </c>
      <c r="Q394" s="172"/>
    </row>
    <row r="395">
      <c r="A395" s="226" t="s">
        <v>56</v>
      </c>
      <c r="B395" s="159" t="s">
        <v>75</v>
      </c>
      <c r="C395" s="178">
        <v>44123.0</v>
      </c>
      <c r="D395" s="179" t="s">
        <v>254</v>
      </c>
      <c r="E395" s="268">
        <v>23.0</v>
      </c>
      <c r="F395" s="163" t="s">
        <v>22</v>
      </c>
      <c r="G395" s="163" t="s">
        <v>24</v>
      </c>
      <c r="H395" s="235"/>
      <c r="J395" s="229" t="s">
        <v>56</v>
      </c>
      <c r="K395" s="274">
        <f t="shared" si="23"/>
        <v>384</v>
      </c>
      <c r="L395" s="237"/>
      <c r="M395" s="238"/>
      <c r="N395" s="239"/>
      <c r="O395" s="240"/>
      <c r="P395" s="225" t="str">
        <f t="shared" si="22"/>
        <v/>
      </c>
      <c r="Q395" s="172"/>
    </row>
    <row r="396">
      <c r="A396" s="226" t="s">
        <v>56</v>
      </c>
      <c r="B396" s="159" t="s">
        <v>75</v>
      </c>
      <c r="C396" s="178">
        <v>44124.0</v>
      </c>
      <c r="D396" s="179" t="s">
        <v>288</v>
      </c>
      <c r="E396" s="268">
        <v>29.9</v>
      </c>
      <c r="F396" s="163" t="s">
        <v>14</v>
      </c>
      <c r="G396" s="163" t="s">
        <v>16</v>
      </c>
      <c r="H396" s="227"/>
      <c r="J396" s="229" t="s">
        <v>56</v>
      </c>
      <c r="K396" s="274">
        <f t="shared" si="23"/>
        <v>385</v>
      </c>
      <c r="L396" s="237"/>
      <c r="M396" s="238"/>
      <c r="N396" s="239"/>
      <c r="O396" s="240"/>
      <c r="P396" s="225" t="str">
        <f t="shared" si="22"/>
        <v/>
      </c>
      <c r="Q396" s="172"/>
    </row>
    <row r="397">
      <c r="A397" s="226" t="s">
        <v>56</v>
      </c>
      <c r="B397" s="159" t="s">
        <v>82</v>
      </c>
      <c r="C397" s="178">
        <v>44125.0</v>
      </c>
      <c r="D397" s="179" t="s">
        <v>172</v>
      </c>
      <c r="E397" s="268">
        <v>151.4</v>
      </c>
      <c r="F397" s="163" t="s">
        <v>14</v>
      </c>
      <c r="G397" s="163" t="s">
        <v>16</v>
      </c>
      <c r="H397" s="235"/>
      <c r="J397" s="229" t="s">
        <v>56</v>
      </c>
      <c r="K397" s="274">
        <f t="shared" si="23"/>
        <v>386</v>
      </c>
      <c r="L397" s="237"/>
      <c r="M397" s="238"/>
      <c r="N397" s="239"/>
      <c r="O397" s="240"/>
      <c r="P397" s="225" t="str">
        <f t="shared" si="22"/>
        <v/>
      </c>
      <c r="Q397" s="172"/>
    </row>
    <row r="398">
      <c r="A398" s="226" t="s">
        <v>56</v>
      </c>
      <c r="B398" s="159" t="s">
        <v>93</v>
      </c>
      <c r="C398" s="178">
        <v>44125.0</v>
      </c>
      <c r="D398" s="179" t="s">
        <v>295</v>
      </c>
      <c r="E398" s="268">
        <v>15.96</v>
      </c>
      <c r="F398" s="163" t="s">
        <v>14</v>
      </c>
      <c r="G398" s="163" t="s">
        <v>16</v>
      </c>
      <c r="H398" s="227"/>
      <c r="J398" s="229" t="s">
        <v>56</v>
      </c>
      <c r="K398" s="274">
        <f t="shared" si="23"/>
        <v>387</v>
      </c>
      <c r="L398" s="237"/>
      <c r="M398" s="238"/>
      <c r="N398" s="239"/>
      <c r="O398" s="240"/>
      <c r="P398" s="225" t="str">
        <f t="shared" si="22"/>
        <v/>
      </c>
      <c r="Q398" s="172"/>
    </row>
    <row r="399">
      <c r="A399" s="226" t="s">
        <v>56</v>
      </c>
      <c r="B399" s="159" t="s">
        <v>109</v>
      </c>
      <c r="C399" s="178">
        <v>44126.0</v>
      </c>
      <c r="D399" s="179" t="s">
        <v>302</v>
      </c>
      <c r="E399" s="268">
        <v>100.0</v>
      </c>
      <c r="F399" s="163" t="s">
        <v>22</v>
      </c>
      <c r="G399" s="163" t="s">
        <v>24</v>
      </c>
      <c r="H399" s="235"/>
      <c r="J399" s="229" t="s">
        <v>56</v>
      </c>
      <c r="K399" s="274">
        <f t="shared" si="23"/>
        <v>388</v>
      </c>
      <c r="L399" s="237"/>
      <c r="M399" s="238"/>
      <c r="N399" s="239"/>
      <c r="O399" s="240"/>
      <c r="P399" s="225" t="str">
        <f t="shared" si="22"/>
        <v/>
      </c>
      <c r="Q399" s="172"/>
    </row>
    <row r="400">
      <c r="A400" s="226" t="s">
        <v>56</v>
      </c>
      <c r="B400" s="159" t="s">
        <v>97</v>
      </c>
      <c r="C400" s="178">
        <v>44133.0</v>
      </c>
      <c r="D400" s="179" t="s">
        <v>303</v>
      </c>
      <c r="E400" s="268">
        <v>4.0</v>
      </c>
      <c r="F400" s="163" t="s">
        <v>26</v>
      </c>
      <c r="G400" s="163" t="s">
        <v>27</v>
      </c>
      <c r="H400" s="227"/>
      <c r="J400" s="229" t="s">
        <v>56</v>
      </c>
      <c r="K400" s="274">
        <f t="shared" si="23"/>
        <v>389</v>
      </c>
      <c r="L400" s="237"/>
      <c r="M400" s="238"/>
      <c r="N400" s="239"/>
      <c r="O400" s="240"/>
      <c r="P400" s="225" t="str">
        <f t="shared" si="22"/>
        <v/>
      </c>
      <c r="Q400" s="172"/>
    </row>
    <row r="401">
      <c r="A401" s="226" t="s">
        <v>56</v>
      </c>
      <c r="B401" s="159" t="s">
        <v>75</v>
      </c>
      <c r="C401" s="178">
        <v>44133.0</v>
      </c>
      <c r="D401" s="179" t="s">
        <v>304</v>
      </c>
      <c r="E401" s="268">
        <v>5.0</v>
      </c>
      <c r="F401" s="163" t="s">
        <v>22</v>
      </c>
      <c r="G401" s="163" t="s">
        <v>24</v>
      </c>
      <c r="H401" s="235"/>
      <c r="J401" s="229" t="s">
        <v>56</v>
      </c>
      <c r="K401" s="274">
        <f t="shared" si="23"/>
        <v>390</v>
      </c>
      <c r="L401" s="237"/>
      <c r="M401" s="238"/>
      <c r="N401" s="239"/>
      <c r="O401" s="240"/>
      <c r="P401" s="225" t="str">
        <f t="shared" si="22"/>
        <v/>
      </c>
      <c r="Q401" s="172"/>
    </row>
    <row r="402">
      <c r="A402" s="226" t="s">
        <v>56</v>
      </c>
      <c r="B402" s="159" t="s">
        <v>109</v>
      </c>
      <c r="C402" s="178">
        <v>44133.0</v>
      </c>
      <c r="D402" s="179" t="s">
        <v>305</v>
      </c>
      <c r="E402" s="268">
        <v>2.0</v>
      </c>
      <c r="F402" s="163" t="s">
        <v>22</v>
      </c>
      <c r="G402" s="163" t="s">
        <v>24</v>
      </c>
      <c r="H402" s="227"/>
      <c r="J402" s="229" t="s">
        <v>56</v>
      </c>
      <c r="K402" s="274">
        <f t="shared" si="23"/>
        <v>391</v>
      </c>
      <c r="L402" s="237"/>
      <c r="M402" s="238"/>
      <c r="N402" s="239"/>
      <c r="O402" s="240"/>
      <c r="P402" s="225" t="str">
        <f t="shared" si="22"/>
        <v/>
      </c>
      <c r="Q402" s="172"/>
    </row>
    <row r="403">
      <c r="A403" s="226" t="s">
        <v>56</v>
      </c>
      <c r="B403" s="159"/>
      <c r="C403" s="178"/>
      <c r="D403" s="179"/>
      <c r="E403" s="268"/>
      <c r="F403" s="163"/>
      <c r="G403" s="269"/>
      <c r="H403" s="235"/>
      <c r="J403" s="229" t="s">
        <v>56</v>
      </c>
      <c r="K403" s="274">
        <f t="shared" si="23"/>
        <v>392</v>
      </c>
      <c r="L403" s="237"/>
      <c r="M403" s="238"/>
      <c r="N403" s="239"/>
      <c r="O403" s="240"/>
      <c r="P403" s="225" t="str">
        <f t="shared" si="22"/>
        <v/>
      </c>
      <c r="Q403" s="172"/>
    </row>
    <row r="404">
      <c r="A404" s="226" t="s">
        <v>56</v>
      </c>
      <c r="B404" s="159"/>
      <c r="C404" s="178"/>
      <c r="D404" s="179"/>
      <c r="E404" s="268"/>
      <c r="F404" s="163"/>
      <c r="G404" s="269"/>
      <c r="H404" s="227"/>
      <c r="J404" s="229" t="s">
        <v>56</v>
      </c>
      <c r="K404" s="274">
        <f t="shared" si="23"/>
        <v>393</v>
      </c>
      <c r="L404" s="237"/>
      <c r="M404" s="238"/>
      <c r="N404" s="239"/>
      <c r="O404" s="240"/>
      <c r="P404" s="225" t="str">
        <f t="shared" si="22"/>
        <v/>
      </c>
      <c r="Q404" s="172"/>
    </row>
    <row r="405">
      <c r="A405" s="226" t="s">
        <v>56</v>
      </c>
      <c r="B405" s="159"/>
      <c r="C405" s="178"/>
      <c r="D405" s="179"/>
      <c r="E405" s="268"/>
      <c r="F405" s="163"/>
      <c r="G405" s="163"/>
      <c r="H405" s="235"/>
      <c r="J405" s="229" t="s">
        <v>56</v>
      </c>
      <c r="K405" s="278">
        <f t="shared" si="23"/>
        <v>394</v>
      </c>
      <c r="L405" s="243"/>
      <c r="M405" s="151"/>
      <c r="N405" s="244"/>
      <c r="O405" s="245"/>
      <c r="P405" s="225" t="str">
        <f t="shared" si="22"/>
        <v/>
      </c>
      <c r="Q405" s="172"/>
    </row>
    <row r="406">
      <c r="A406" s="226" t="s">
        <v>56</v>
      </c>
      <c r="B406" s="159"/>
      <c r="C406" s="178"/>
      <c r="D406" s="179"/>
      <c r="E406" s="268"/>
      <c r="F406" s="163"/>
      <c r="G406" s="163"/>
      <c r="H406" s="227"/>
      <c r="J406" s="229" t="s">
        <v>56</v>
      </c>
      <c r="K406" s="278">
        <f t="shared" si="23"/>
        <v>395</v>
      </c>
      <c r="L406" s="243"/>
      <c r="M406" s="151"/>
      <c r="N406" s="244"/>
      <c r="O406" s="245"/>
      <c r="P406" s="225" t="str">
        <f t="shared" si="22"/>
        <v/>
      </c>
      <c r="Q406" s="172"/>
    </row>
    <row r="407">
      <c r="A407" s="226" t="s">
        <v>56</v>
      </c>
      <c r="B407" s="159"/>
      <c r="C407" s="178"/>
      <c r="D407" s="179"/>
      <c r="E407" s="268"/>
      <c r="F407" s="163"/>
      <c r="G407" s="163"/>
      <c r="H407" s="235"/>
      <c r="J407" s="229" t="s">
        <v>56</v>
      </c>
      <c r="K407" s="278">
        <f t="shared" si="23"/>
        <v>396</v>
      </c>
      <c r="L407" s="243"/>
      <c r="M407" s="151"/>
      <c r="N407" s="244"/>
      <c r="O407" s="245"/>
      <c r="P407" s="225" t="str">
        <f t="shared" si="22"/>
        <v/>
      </c>
      <c r="Q407" s="172"/>
    </row>
    <row r="408">
      <c r="A408" s="226" t="s">
        <v>56</v>
      </c>
      <c r="B408" s="159"/>
      <c r="C408" s="178"/>
      <c r="D408" s="179"/>
      <c r="E408" s="268"/>
      <c r="F408" s="163"/>
      <c r="G408" s="163"/>
      <c r="H408" s="227"/>
      <c r="J408" s="229" t="s">
        <v>56</v>
      </c>
      <c r="K408" s="278">
        <f t="shared" si="23"/>
        <v>397</v>
      </c>
      <c r="L408" s="243"/>
      <c r="M408" s="151"/>
      <c r="N408" s="244"/>
      <c r="O408" s="245"/>
      <c r="P408" s="225" t="str">
        <f t="shared" si="22"/>
        <v/>
      </c>
      <c r="Q408" s="172"/>
    </row>
    <row r="409">
      <c r="A409" s="226" t="s">
        <v>56</v>
      </c>
      <c r="B409" s="159"/>
      <c r="C409" s="178"/>
      <c r="D409" s="179"/>
      <c r="E409" s="268"/>
      <c r="F409" s="163"/>
      <c r="G409" s="163"/>
      <c r="H409" s="235"/>
      <c r="J409" s="229" t="s">
        <v>56</v>
      </c>
      <c r="K409" s="278">
        <f t="shared" si="23"/>
        <v>398</v>
      </c>
      <c r="L409" s="243"/>
      <c r="M409" s="151"/>
      <c r="N409" s="244"/>
      <c r="O409" s="245"/>
      <c r="P409" s="225" t="str">
        <f t="shared" si="22"/>
        <v/>
      </c>
      <c r="Q409" s="172"/>
    </row>
    <row r="410">
      <c r="A410" s="226" t="s">
        <v>56</v>
      </c>
      <c r="B410" s="159"/>
      <c r="C410" s="178"/>
      <c r="D410" s="179"/>
      <c r="E410" s="268"/>
      <c r="F410" s="163"/>
      <c r="G410" s="163"/>
      <c r="H410" s="227"/>
      <c r="J410" s="229" t="s">
        <v>56</v>
      </c>
      <c r="K410" s="278">
        <f t="shared" si="23"/>
        <v>399</v>
      </c>
      <c r="L410" s="243"/>
      <c r="M410" s="151"/>
      <c r="N410" s="244"/>
      <c r="O410" s="245"/>
      <c r="P410" s="225" t="str">
        <f t="shared" si="22"/>
        <v/>
      </c>
      <c r="Q410" s="172"/>
    </row>
    <row r="411">
      <c r="A411" s="226" t="s">
        <v>56</v>
      </c>
      <c r="B411" s="159"/>
      <c r="C411" s="178"/>
      <c r="D411" s="179"/>
      <c r="E411" s="268"/>
      <c r="F411" s="163"/>
      <c r="G411" s="163"/>
      <c r="H411" s="235"/>
      <c r="J411" s="229" t="s">
        <v>56</v>
      </c>
      <c r="K411" s="278">
        <f t="shared" si="23"/>
        <v>400</v>
      </c>
      <c r="L411" s="243"/>
      <c r="M411" s="151"/>
      <c r="N411" s="244"/>
      <c r="O411" s="245"/>
      <c r="P411" s="225" t="str">
        <f t="shared" si="22"/>
        <v/>
      </c>
      <c r="Q411" s="173"/>
    </row>
    <row r="412">
      <c r="A412" s="226" t="s">
        <v>56</v>
      </c>
      <c r="B412" s="159"/>
      <c r="C412" s="178"/>
      <c r="D412" s="179"/>
      <c r="E412" s="268"/>
      <c r="F412" s="163"/>
      <c r="G412" s="163"/>
      <c r="H412" s="227"/>
      <c r="J412" s="229" t="s">
        <v>56</v>
      </c>
      <c r="K412" s="278">
        <f t="shared" si="23"/>
        <v>401</v>
      </c>
      <c r="L412" s="243"/>
      <c r="M412" s="163"/>
      <c r="N412" s="223"/>
      <c r="O412" s="224"/>
      <c r="P412" s="225" t="str">
        <f t="shared" si="22"/>
        <v/>
      </c>
      <c r="Q412" s="173"/>
    </row>
    <row r="413">
      <c r="A413" s="226" t="s">
        <v>56</v>
      </c>
      <c r="B413" s="159"/>
      <c r="C413" s="178"/>
      <c r="D413" s="179"/>
      <c r="E413" s="268"/>
      <c r="F413" s="163"/>
      <c r="G413" s="163"/>
      <c r="H413" s="235"/>
      <c r="J413" s="229" t="s">
        <v>56</v>
      </c>
      <c r="K413" s="278">
        <f t="shared" si="23"/>
        <v>402</v>
      </c>
      <c r="L413" s="243"/>
      <c r="M413" s="163"/>
      <c r="N413" s="223"/>
      <c r="O413" s="224"/>
      <c r="P413" s="225" t="str">
        <f t="shared" si="22"/>
        <v/>
      </c>
      <c r="Q413" s="173"/>
    </row>
    <row r="414">
      <c r="A414" s="226" t="s">
        <v>56</v>
      </c>
      <c r="B414" s="159"/>
      <c r="C414" s="178"/>
      <c r="D414" s="179"/>
      <c r="E414" s="268"/>
      <c r="F414" s="163"/>
      <c r="G414" s="163"/>
      <c r="H414" s="227"/>
      <c r="J414" s="229" t="s">
        <v>56</v>
      </c>
      <c r="K414" s="278">
        <f t="shared" si="23"/>
        <v>403</v>
      </c>
      <c r="L414" s="243"/>
      <c r="M414" s="248"/>
      <c r="N414" s="223"/>
      <c r="O414" s="224"/>
      <c r="P414" s="225" t="str">
        <f t="shared" si="22"/>
        <v/>
      </c>
      <c r="Q414" s="173"/>
    </row>
    <row r="415">
      <c r="A415" s="226" t="s">
        <v>56</v>
      </c>
      <c r="B415" s="159"/>
      <c r="C415" s="178"/>
      <c r="D415" s="179"/>
      <c r="E415" s="268"/>
      <c r="F415" s="163"/>
      <c r="G415" s="163"/>
      <c r="H415" s="235"/>
      <c r="J415" s="229" t="s">
        <v>56</v>
      </c>
      <c r="K415" s="278">
        <f t="shared" si="23"/>
        <v>404</v>
      </c>
      <c r="L415" s="243"/>
      <c r="M415" s="248"/>
      <c r="N415" s="223"/>
      <c r="O415" s="224"/>
      <c r="P415" s="225" t="str">
        <f t="shared" si="22"/>
        <v/>
      </c>
      <c r="Q415" s="173"/>
    </row>
    <row r="416">
      <c r="A416" s="226" t="s">
        <v>56</v>
      </c>
      <c r="B416" s="159"/>
      <c r="C416" s="178"/>
      <c r="D416" s="179"/>
      <c r="E416" s="268"/>
      <c r="F416" s="163"/>
      <c r="G416" s="163"/>
      <c r="H416" s="227"/>
      <c r="J416" s="229" t="s">
        <v>56</v>
      </c>
      <c r="K416" s="278">
        <f t="shared" si="23"/>
        <v>405</v>
      </c>
      <c r="L416" s="243"/>
      <c r="M416" s="248"/>
      <c r="N416" s="223"/>
      <c r="O416" s="224"/>
      <c r="P416" s="225" t="str">
        <f t="shared" si="22"/>
        <v/>
      </c>
      <c r="Q416" s="173"/>
    </row>
    <row r="417">
      <c r="A417" s="226" t="s">
        <v>56</v>
      </c>
      <c r="B417" s="159"/>
      <c r="C417" s="178"/>
      <c r="D417" s="179"/>
      <c r="E417" s="268"/>
      <c r="F417" s="163"/>
      <c r="G417" s="163"/>
      <c r="H417" s="235"/>
      <c r="J417" s="229" t="s">
        <v>56</v>
      </c>
      <c r="K417" s="278">
        <f t="shared" si="23"/>
        <v>406</v>
      </c>
      <c r="L417" s="243"/>
      <c r="M417" s="249"/>
      <c r="N417" s="244"/>
      <c r="O417" s="245"/>
      <c r="P417" s="225" t="str">
        <f t="shared" si="22"/>
        <v/>
      </c>
      <c r="Q417" s="173"/>
    </row>
    <row r="418">
      <c r="A418" s="226" t="s">
        <v>56</v>
      </c>
      <c r="B418" s="159"/>
      <c r="C418" s="178"/>
      <c r="D418" s="179"/>
      <c r="E418" s="268"/>
      <c r="F418" s="163"/>
      <c r="G418" s="163"/>
      <c r="H418" s="227"/>
      <c r="J418" s="229" t="s">
        <v>56</v>
      </c>
      <c r="K418" s="278">
        <f t="shared" si="23"/>
        <v>407</v>
      </c>
      <c r="L418" s="243"/>
      <c r="M418" s="249"/>
      <c r="N418" s="244"/>
      <c r="O418" s="245"/>
      <c r="P418" s="225" t="str">
        <f t="shared" si="22"/>
        <v/>
      </c>
      <c r="Q418" s="173"/>
    </row>
    <row r="419">
      <c r="A419" s="226" t="s">
        <v>56</v>
      </c>
      <c r="B419" s="159"/>
      <c r="C419" s="178"/>
      <c r="D419" s="179"/>
      <c r="E419" s="268"/>
      <c r="F419" s="163"/>
      <c r="G419" s="163"/>
      <c r="H419" s="235"/>
      <c r="J419" s="229" t="s">
        <v>56</v>
      </c>
      <c r="K419" s="278">
        <f t="shared" si="23"/>
        <v>408</v>
      </c>
      <c r="L419" s="243"/>
      <c r="M419" s="249"/>
      <c r="N419" s="244"/>
      <c r="O419" s="245"/>
      <c r="P419" s="225" t="str">
        <f t="shared" si="22"/>
        <v/>
      </c>
      <c r="Q419" s="173"/>
    </row>
    <row r="420">
      <c r="A420" s="226" t="s">
        <v>56</v>
      </c>
      <c r="B420" s="159"/>
      <c r="C420" s="178"/>
      <c r="D420" s="179"/>
      <c r="E420" s="268"/>
      <c r="F420" s="163"/>
      <c r="G420" s="163"/>
      <c r="H420" s="227"/>
      <c r="J420" s="229" t="s">
        <v>56</v>
      </c>
      <c r="K420" s="278">
        <f t="shared" si="23"/>
        <v>409</v>
      </c>
      <c r="L420" s="243"/>
      <c r="M420" s="248"/>
      <c r="N420" s="244"/>
      <c r="O420" s="224"/>
      <c r="P420" s="225" t="str">
        <f t="shared" si="22"/>
        <v/>
      </c>
      <c r="Q420" s="173"/>
    </row>
    <row r="421">
      <c r="A421" s="250" t="s">
        <v>56</v>
      </c>
      <c r="B421" s="193"/>
      <c r="C421" s="194"/>
      <c r="D421" s="195"/>
      <c r="E421" s="270"/>
      <c r="F421" s="197"/>
      <c r="G421" s="197"/>
      <c r="H421" s="251"/>
      <c r="J421" s="252" t="s">
        <v>56</v>
      </c>
      <c r="K421" s="279">
        <f t="shared" si="23"/>
        <v>410</v>
      </c>
      <c r="L421" s="253"/>
      <c r="M421" s="254"/>
      <c r="N421" s="255"/>
      <c r="O421" s="256"/>
      <c r="P421" s="225" t="str">
        <f t="shared" si="22"/>
        <v/>
      </c>
      <c r="Q421" s="258"/>
    </row>
    <row r="422">
      <c r="K422" s="273"/>
      <c r="N422" s="177"/>
      <c r="O422" s="273"/>
      <c r="P422" s="280"/>
    </row>
    <row r="423">
      <c r="A423" s="215" t="s">
        <v>57</v>
      </c>
      <c r="B423" s="187" t="s">
        <v>97</v>
      </c>
      <c r="C423" s="188">
        <v>44136.0</v>
      </c>
      <c r="D423" s="189" t="s">
        <v>306</v>
      </c>
      <c r="E423" s="261">
        <v>3.0</v>
      </c>
      <c r="F423" s="153" t="s">
        <v>22</v>
      </c>
      <c r="G423" s="153" t="s">
        <v>24</v>
      </c>
      <c r="H423" s="217"/>
      <c r="J423" s="219" t="s">
        <v>57</v>
      </c>
      <c r="K423" s="262">
        <f>K421+1</f>
        <v>411</v>
      </c>
      <c r="L423" s="263">
        <v>44165.0</v>
      </c>
      <c r="M423" s="264" t="s">
        <v>307</v>
      </c>
      <c r="N423" s="265">
        <v>50.0</v>
      </c>
      <c r="O423" s="266">
        <v>1.0</v>
      </c>
      <c r="P423" s="225">
        <f t="shared" ref="P423:P463" si="24">IFERROR($N423/$O423,"")</f>
        <v>50</v>
      </c>
      <c r="Q423" s="191" t="s">
        <v>14</v>
      </c>
    </row>
    <row r="424">
      <c r="A424" s="226" t="s">
        <v>57</v>
      </c>
      <c r="B424" s="159" t="s">
        <v>97</v>
      </c>
      <c r="C424" s="178">
        <v>44137.0</v>
      </c>
      <c r="D424" s="179" t="s">
        <v>308</v>
      </c>
      <c r="E424" s="268">
        <v>116.34</v>
      </c>
      <c r="F424" s="163" t="s">
        <v>26</v>
      </c>
      <c r="G424" s="163" t="s">
        <v>27</v>
      </c>
      <c r="H424" s="227"/>
      <c r="J424" s="229" t="s">
        <v>57</v>
      </c>
      <c r="K424" s="230">
        <f t="shared" ref="K424:K463" si="25">K423+1</f>
        <v>412</v>
      </c>
      <c r="L424" s="231"/>
      <c r="M424" s="232"/>
      <c r="N424" s="233"/>
      <c r="O424" s="234"/>
      <c r="P424" s="225" t="str">
        <f t="shared" si="24"/>
        <v/>
      </c>
      <c r="Q424" s="172"/>
    </row>
    <row r="425">
      <c r="A425" s="226" t="s">
        <v>57</v>
      </c>
      <c r="B425" s="159" t="s">
        <v>75</v>
      </c>
      <c r="C425" s="178">
        <v>44137.0</v>
      </c>
      <c r="D425" s="179" t="s">
        <v>177</v>
      </c>
      <c r="E425" s="268">
        <v>92.0</v>
      </c>
      <c r="F425" s="163" t="s">
        <v>14</v>
      </c>
      <c r="G425" s="163" t="s">
        <v>16</v>
      </c>
      <c r="H425" s="235"/>
      <c r="J425" s="229" t="s">
        <v>57</v>
      </c>
      <c r="K425" s="230">
        <f t="shared" si="25"/>
        <v>413</v>
      </c>
      <c r="L425" s="231"/>
      <c r="M425" s="232"/>
      <c r="N425" s="233"/>
      <c r="O425" s="234"/>
      <c r="P425" s="225" t="str">
        <f t="shared" si="24"/>
        <v/>
      </c>
      <c r="Q425" s="172"/>
    </row>
    <row r="426">
      <c r="A426" s="226" t="s">
        <v>57</v>
      </c>
      <c r="B426" s="159" t="s">
        <v>82</v>
      </c>
      <c r="C426" s="178">
        <v>44138.0</v>
      </c>
      <c r="D426" s="179" t="s">
        <v>309</v>
      </c>
      <c r="E426" s="268">
        <v>75.9</v>
      </c>
      <c r="F426" s="163" t="s">
        <v>14</v>
      </c>
      <c r="G426" s="163" t="s">
        <v>16</v>
      </c>
      <c r="H426" s="227"/>
      <c r="J426" s="229" t="s">
        <v>57</v>
      </c>
      <c r="K426" s="230">
        <f t="shared" si="25"/>
        <v>414</v>
      </c>
      <c r="L426" s="231"/>
      <c r="M426" s="232"/>
      <c r="N426" s="233"/>
      <c r="O426" s="234"/>
      <c r="P426" s="225" t="str">
        <f t="shared" si="24"/>
        <v/>
      </c>
      <c r="Q426" s="172"/>
    </row>
    <row r="427">
      <c r="A427" s="226" t="s">
        <v>57</v>
      </c>
      <c r="B427" s="159" t="s">
        <v>107</v>
      </c>
      <c r="C427" s="178">
        <v>44139.0</v>
      </c>
      <c r="D427" s="179" t="s">
        <v>107</v>
      </c>
      <c r="E427" s="268">
        <v>239.82</v>
      </c>
      <c r="F427" s="163" t="s">
        <v>14</v>
      </c>
      <c r="G427" s="163" t="s">
        <v>16</v>
      </c>
      <c r="H427" s="281" t="s">
        <v>17</v>
      </c>
      <c r="J427" s="229" t="s">
        <v>57</v>
      </c>
      <c r="K427" s="274">
        <f t="shared" si="25"/>
        <v>415</v>
      </c>
      <c r="L427" s="237"/>
      <c r="M427" s="238"/>
      <c r="N427" s="239"/>
      <c r="O427" s="240"/>
      <c r="P427" s="225" t="str">
        <f t="shared" si="24"/>
        <v/>
      </c>
      <c r="Q427" s="172"/>
    </row>
    <row r="428">
      <c r="A428" s="226" t="s">
        <v>57</v>
      </c>
      <c r="B428" s="159" t="s">
        <v>105</v>
      </c>
      <c r="C428" s="178">
        <v>44139.0</v>
      </c>
      <c r="D428" s="179" t="s">
        <v>310</v>
      </c>
      <c r="E428" s="268">
        <v>42.4</v>
      </c>
      <c r="F428" s="163" t="s">
        <v>14</v>
      </c>
      <c r="G428" s="163" t="s">
        <v>16</v>
      </c>
      <c r="H428" s="227"/>
      <c r="J428" s="229" t="s">
        <v>57</v>
      </c>
      <c r="K428" s="274">
        <f t="shared" si="25"/>
        <v>416</v>
      </c>
      <c r="L428" s="237"/>
      <c r="M428" s="238"/>
      <c r="N428" s="239"/>
      <c r="O428" s="240"/>
      <c r="P428" s="225" t="str">
        <f t="shared" si="24"/>
        <v/>
      </c>
      <c r="Q428" s="172"/>
    </row>
    <row r="429">
      <c r="A429" s="226" t="s">
        <v>57</v>
      </c>
      <c r="B429" s="159" t="s">
        <v>97</v>
      </c>
      <c r="C429" s="178">
        <v>44141.0</v>
      </c>
      <c r="D429" s="179" t="s">
        <v>171</v>
      </c>
      <c r="E429" s="268">
        <v>8.76</v>
      </c>
      <c r="F429" s="163" t="s">
        <v>14</v>
      </c>
      <c r="G429" s="163" t="s">
        <v>16</v>
      </c>
      <c r="H429" s="235"/>
      <c r="J429" s="229" t="s">
        <v>57</v>
      </c>
      <c r="K429" s="274">
        <f t="shared" si="25"/>
        <v>417</v>
      </c>
      <c r="L429" s="237"/>
      <c r="M429" s="238"/>
      <c r="N429" s="239"/>
      <c r="O429" s="240"/>
      <c r="P429" s="225" t="str">
        <f t="shared" si="24"/>
        <v/>
      </c>
      <c r="Q429" s="172"/>
    </row>
    <row r="430">
      <c r="A430" s="226" t="s">
        <v>57</v>
      </c>
      <c r="B430" s="159" t="s">
        <v>75</v>
      </c>
      <c r="C430" s="178">
        <v>44142.0</v>
      </c>
      <c r="D430" s="179" t="s">
        <v>311</v>
      </c>
      <c r="E430" s="268">
        <v>47.0</v>
      </c>
      <c r="F430" s="163" t="s">
        <v>22</v>
      </c>
      <c r="G430" s="163" t="s">
        <v>24</v>
      </c>
      <c r="H430" s="227"/>
      <c r="J430" s="229" t="s">
        <v>57</v>
      </c>
      <c r="K430" s="274">
        <f t="shared" si="25"/>
        <v>418</v>
      </c>
      <c r="L430" s="237"/>
      <c r="M430" s="238"/>
      <c r="N430" s="239"/>
      <c r="O430" s="240"/>
      <c r="P430" s="225" t="str">
        <f t="shared" si="24"/>
        <v/>
      </c>
      <c r="Q430" s="172"/>
    </row>
    <row r="431">
      <c r="A431" s="226" t="s">
        <v>57</v>
      </c>
      <c r="B431" s="159" t="s">
        <v>97</v>
      </c>
      <c r="C431" s="178">
        <v>44142.0</v>
      </c>
      <c r="D431" s="179" t="s">
        <v>171</v>
      </c>
      <c r="E431" s="268">
        <v>100.0</v>
      </c>
      <c r="F431" s="163" t="s">
        <v>22</v>
      </c>
      <c r="G431" s="163" t="s">
        <v>24</v>
      </c>
      <c r="H431" s="281"/>
      <c r="J431" s="229" t="s">
        <v>57</v>
      </c>
      <c r="K431" s="274">
        <f t="shared" si="25"/>
        <v>419</v>
      </c>
      <c r="L431" s="237"/>
      <c r="M431" s="238"/>
      <c r="N431" s="239"/>
      <c r="O431" s="240"/>
      <c r="P431" s="225" t="str">
        <f t="shared" si="24"/>
        <v/>
      </c>
      <c r="Q431" s="172"/>
    </row>
    <row r="432">
      <c r="A432" s="226" t="s">
        <v>57</v>
      </c>
      <c r="B432" s="159" t="s">
        <v>75</v>
      </c>
      <c r="C432" s="178">
        <v>44143.0</v>
      </c>
      <c r="D432" s="179" t="s">
        <v>240</v>
      </c>
      <c r="E432" s="268">
        <v>16.0</v>
      </c>
      <c r="F432" s="163" t="s">
        <v>22</v>
      </c>
      <c r="G432" s="163" t="s">
        <v>24</v>
      </c>
      <c r="H432" s="247"/>
      <c r="J432" s="229" t="s">
        <v>57</v>
      </c>
      <c r="K432" s="274">
        <f t="shared" si="25"/>
        <v>420</v>
      </c>
      <c r="L432" s="237"/>
      <c r="M432" s="238"/>
      <c r="N432" s="239"/>
      <c r="O432" s="240"/>
      <c r="P432" s="225" t="str">
        <f t="shared" si="24"/>
        <v/>
      </c>
      <c r="Q432" s="172"/>
    </row>
    <row r="433">
      <c r="A433" s="226" t="s">
        <v>57</v>
      </c>
      <c r="B433" s="159" t="s">
        <v>111</v>
      </c>
      <c r="C433" s="178">
        <v>44145.0</v>
      </c>
      <c r="D433" s="179" t="s">
        <v>312</v>
      </c>
      <c r="E433" s="268">
        <v>660.0</v>
      </c>
      <c r="F433" s="163" t="s">
        <v>14</v>
      </c>
      <c r="G433" s="163" t="s">
        <v>16</v>
      </c>
      <c r="H433" s="235"/>
      <c r="J433" s="229" t="s">
        <v>57</v>
      </c>
      <c r="K433" s="274">
        <f t="shared" si="25"/>
        <v>421</v>
      </c>
      <c r="L433" s="237"/>
      <c r="M433" s="238"/>
      <c r="N433" s="239"/>
      <c r="O433" s="240"/>
      <c r="P433" s="225" t="str">
        <f t="shared" si="24"/>
        <v/>
      </c>
      <c r="Q433" s="172"/>
    </row>
    <row r="434">
      <c r="A434" s="226" t="s">
        <v>57</v>
      </c>
      <c r="B434" s="159" t="s">
        <v>109</v>
      </c>
      <c r="C434" s="178">
        <v>44144.0</v>
      </c>
      <c r="D434" s="179" t="s">
        <v>313</v>
      </c>
      <c r="E434" s="268">
        <v>100.0</v>
      </c>
      <c r="F434" s="163" t="s">
        <v>22</v>
      </c>
      <c r="G434" s="163" t="s">
        <v>24</v>
      </c>
      <c r="H434" s="227"/>
      <c r="J434" s="229" t="s">
        <v>57</v>
      </c>
      <c r="K434" s="274">
        <f t="shared" si="25"/>
        <v>422</v>
      </c>
      <c r="L434" s="237"/>
      <c r="M434" s="238"/>
      <c r="N434" s="239"/>
      <c r="O434" s="240"/>
      <c r="P434" s="225" t="str">
        <f t="shared" si="24"/>
        <v/>
      </c>
      <c r="Q434" s="172"/>
    </row>
    <row r="435">
      <c r="A435" s="226" t="s">
        <v>57</v>
      </c>
      <c r="B435" s="159" t="s">
        <v>111</v>
      </c>
      <c r="C435" s="178">
        <v>44146.0</v>
      </c>
      <c r="D435" s="179" t="s">
        <v>314</v>
      </c>
      <c r="E435" s="268">
        <v>500.0</v>
      </c>
      <c r="F435" s="163" t="s">
        <v>14</v>
      </c>
      <c r="G435" s="163" t="s">
        <v>16</v>
      </c>
      <c r="H435" s="235"/>
      <c r="J435" s="229" t="s">
        <v>57</v>
      </c>
      <c r="K435" s="274">
        <f t="shared" si="25"/>
        <v>423</v>
      </c>
      <c r="L435" s="237"/>
      <c r="M435" s="238"/>
      <c r="N435" s="239"/>
      <c r="O435" s="240"/>
      <c r="P435" s="225" t="str">
        <f t="shared" si="24"/>
        <v/>
      </c>
      <c r="Q435" s="172"/>
    </row>
    <row r="436">
      <c r="A436" s="226" t="s">
        <v>57</v>
      </c>
      <c r="B436" s="159" t="s">
        <v>109</v>
      </c>
      <c r="C436" s="178">
        <v>44147.0</v>
      </c>
      <c r="D436" s="179" t="s">
        <v>273</v>
      </c>
      <c r="E436" s="268">
        <v>40.0</v>
      </c>
      <c r="F436" s="163" t="s">
        <v>14</v>
      </c>
      <c r="G436" s="163" t="s">
        <v>16</v>
      </c>
      <c r="H436" s="227"/>
      <c r="J436" s="229" t="s">
        <v>57</v>
      </c>
      <c r="K436" s="274">
        <f t="shared" si="25"/>
        <v>424</v>
      </c>
      <c r="L436" s="237"/>
      <c r="M436" s="238"/>
      <c r="N436" s="239"/>
      <c r="O436" s="240"/>
      <c r="P436" s="225" t="str">
        <f t="shared" si="24"/>
        <v/>
      </c>
      <c r="Q436" s="172"/>
    </row>
    <row r="437">
      <c r="A437" s="226" t="s">
        <v>57</v>
      </c>
      <c r="B437" s="159" t="s">
        <v>111</v>
      </c>
      <c r="C437" s="178">
        <v>44147.0</v>
      </c>
      <c r="D437" s="179" t="s">
        <v>315</v>
      </c>
      <c r="E437" s="268">
        <v>569.0</v>
      </c>
      <c r="F437" s="163" t="s">
        <v>14</v>
      </c>
      <c r="G437" s="163" t="s">
        <v>16</v>
      </c>
      <c r="H437" s="235"/>
      <c r="J437" s="229" t="s">
        <v>57</v>
      </c>
      <c r="K437" s="274">
        <f t="shared" si="25"/>
        <v>425</v>
      </c>
      <c r="L437" s="237"/>
      <c r="M437" s="238"/>
      <c r="N437" s="239"/>
      <c r="O437" s="240"/>
      <c r="P437" s="225" t="str">
        <f t="shared" si="24"/>
        <v/>
      </c>
      <c r="Q437" s="172"/>
    </row>
    <row r="438">
      <c r="A438" s="226" t="s">
        <v>57</v>
      </c>
      <c r="B438" s="159" t="s">
        <v>111</v>
      </c>
      <c r="C438" s="178">
        <v>44147.0</v>
      </c>
      <c r="D438" s="179" t="s">
        <v>316</v>
      </c>
      <c r="E438" s="268">
        <v>12.0</v>
      </c>
      <c r="F438" s="163" t="s">
        <v>22</v>
      </c>
      <c r="G438" s="163" t="s">
        <v>24</v>
      </c>
      <c r="H438" s="227"/>
      <c r="J438" s="229" t="s">
        <v>57</v>
      </c>
      <c r="K438" s="274">
        <f t="shared" si="25"/>
        <v>426</v>
      </c>
      <c r="L438" s="237"/>
      <c r="M438" s="238"/>
      <c r="N438" s="239"/>
      <c r="O438" s="240"/>
      <c r="P438" s="225" t="str">
        <f t="shared" si="24"/>
        <v/>
      </c>
      <c r="Q438" s="172"/>
    </row>
    <row r="439">
      <c r="A439" s="226" t="s">
        <v>57</v>
      </c>
      <c r="B439" s="159" t="s">
        <v>111</v>
      </c>
      <c r="C439" s="178">
        <v>44153.0</v>
      </c>
      <c r="D439" s="179" t="s">
        <v>317</v>
      </c>
      <c r="E439" s="268">
        <v>122.0</v>
      </c>
      <c r="F439" s="163" t="s">
        <v>14</v>
      </c>
      <c r="G439" s="163" t="s">
        <v>16</v>
      </c>
      <c r="H439" s="235"/>
      <c r="J439" s="229" t="s">
        <v>57</v>
      </c>
      <c r="K439" s="274">
        <f t="shared" si="25"/>
        <v>427</v>
      </c>
      <c r="L439" s="237"/>
      <c r="M439" s="238"/>
      <c r="N439" s="239"/>
      <c r="O439" s="240"/>
      <c r="P439" s="225" t="str">
        <f t="shared" si="24"/>
        <v/>
      </c>
      <c r="Q439" s="172"/>
    </row>
    <row r="440">
      <c r="A440" s="226" t="s">
        <v>57</v>
      </c>
      <c r="B440" s="159" t="s">
        <v>75</v>
      </c>
      <c r="C440" s="178">
        <v>44157.0</v>
      </c>
      <c r="D440" s="179" t="s">
        <v>254</v>
      </c>
      <c r="E440" s="268">
        <v>15.0</v>
      </c>
      <c r="F440" s="163" t="s">
        <v>22</v>
      </c>
      <c r="G440" s="163" t="s">
        <v>24</v>
      </c>
      <c r="H440" s="227"/>
      <c r="J440" s="229" t="s">
        <v>57</v>
      </c>
      <c r="K440" s="274">
        <f t="shared" si="25"/>
        <v>428</v>
      </c>
      <c r="L440" s="237"/>
      <c r="M440" s="238"/>
      <c r="N440" s="239"/>
      <c r="O440" s="240"/>
      <c r="P440" s="225" t="str">
        <f t="shared" si="24"/>
        <v/>
      </c>
      <c r="Q440" s="172"/>
    </row>
    <row r="441">
      <c r="A441" s="226" t="s">
        <v>57</v>
      </c>
      <c r="B441" s="159" t="s">
        <v>111</v>
      </c>
      <c r="C441" s="178">
        <v>44159.0</v>
      </c>
      <c r="D441" s="179" t="s">
        <v>318</v>
      </c>
      <c r="E441" s="268">
        <v>15.0</v>
      </c>
      <c r="F441" s="163" t="s">
        <v>14</v>
      </c>
      <c r="G441" s="163" t="s">
        <v>16</v>
      </c>
      <c r="H441" s="235"/>
      <c r="J441" s="229" t="s">
        <v>57</v>
      </c>
      <c r="K441" s="274">
        <f t="shared" si="25"/>
        <v>429</v>
      </c>
      <c r="L441" s="237"/>
      <c r="M441" s="238"/>
      <c r="N441" s="239"/>
      <c r="O441" s="240"/>
      <c r="P441" s="225" t="str">
        <f t="shared" si="24"/>
        <v/>
      </c>
      <c r="Q441" s="172"/>
    </row>
    <row r="442">
      <c r="A442" s="226" t="s">
        <v>57</v>
      </c>
      <c r="B442" s="159" t="s">
        <v>111</v>
      </c>
      <c r="C442" s="178">
        <v>44159.0</v>
      </c>
      <c r="D442" s="179" t="s">
        <v>319</v>
      </c>
      <c r="E442" s="268">
        <v>59.99</v>
      </c>
      <c r="F442" s="163" t="s">
        <v>14</v>
      </c>
      <c r="G442" s="163" t="s">
        <v>16</v>
      </c>
      <c r="H442" s="227"/>
      <c r="J442" s="229" t="s">
        <v>57</v>
      </c>
      <c r="K442" s="274">
        <f t="shared" si="25"/>
        <v>430</v>
      </c>
      <c r="L442" s="237"/>
      <c r="M442" s="238"/>
      <c r="N442" s="239"/>
      <c r="O442" s="240"/>
      <c r="P442" s="225" t="str">
        <f t="shared" si="24"/>
        <v/>
      </c>
      <c r="Q442" s="172"/>
    </row>
    <row r="443">
      <c r="A443" s="226" t="s">
        <v>57</v>
      </c>
      <c r="B443" s="159" t="s">
        <v>111</v>
      </c>
      <c r="C443" s="178">
        <v>44159.0</v>
      </c>
      <c r="D443" s="179" t="s">
        <v>320</v>
      </c>
      <c r="E443" s="268">
        <v>11.0</v>
      </c>
      <c r="F443" s="163" t="s">
        <v>22</v>
      </c>
      <c r="G443" s="163" t="s">
        <v>24</v>
      </c>
      <c r="H443" s="235"/>
      <c r="J443" s="229" t="s">
        <v>57</v>
      </c>
      <c r="K443" s="274">
        <f t="shared" si="25"/>
        <v>431</v>
      </c>
      <c r="L443" s="237"/>
      <c r="M443" s="238"/>
      <c r="N443" s="239"/>
      <c r="O443" s="240"/>
      <c r="P443" s="225" t="str">
        <f t="shared" si="24"/>
        <v/>
      </c>
      <c r="Q443" s="172"/>
    </row>
    <row r="444">
      <c r="A444" s="226" t="s">
        <v>57</v>
      </c>
      <c r="B444" s="159" t="s">
        <v>75</v>
      </c>
      <c r="C444" s="178">
        <v>44155.0</v>
      </c>
      <c r="D444" s="179" t="s">
        <v>321</v>
      </c>
      <c r="E444" s="268">
        <v>2.0</v>
      </c>
      <c r="F444" s="163" t="s">
        <v>22</v>
      </c>
      <c r="G444" s="163" t="s">
        <v>24</v>
      </c>
      <c r="H444" s="227"/>
      <c r="J444" s="229" t="s">
        <v>57</v>
      </c>
      <c r="K444" s="274">
        <f t="shared" si="25"/>
        <v>432</v>
      </c>
      <c r="L444" s="237"/>
      <c r="M444" s="238"/>
      <c r="N444" s="239"/>
      <c r="O444" s="240"/>
      <c r="P444" s="225" t="str">
        <f t="shared" si="24"/>
        <v/>
      </c>
      <c r="Q444" s="172"/>
    </row>
    <row r="445">
      <c r="A445" s="226" t="s">
        <v>57</v>
      </c>
      <c r="B445" s="159" t="s">
        <v>109</v>
      </c>
      <c r="C445" s="178">
        <v>44160.0</v>
      </c>
      <c r="D445" s="179" t="s">
        <v>322</v>
      </c>
      <c r="E445" s="268">
        <v>100.0</v>
      </c>
      <c r="F445" s="163" t="s">
        <v>22</v>
      </c>
      <c r="G445" s="163" t="s">
        <v>24</v>
      </c>
      <c r="H445" s="235"/>
      <c r="J445" s="229" t="s">
        <v>57</v>
      </c>
      <c r="K445" s="274">
        <f t="shared" si="25"/>
        <v>433</v>
      </c>
      <c r="L445" s="237"/>
      <c r="M445" s="238"/>
      <c r="N445" s="239"/>
      <c r="O445" s="240"/>
      <c r="P445" s="225" t="str">
        <f t="shared" si="24"/>
        <v/>
      </c>
      <c r="Q445" s="172"/>
    </row>
    <row r="446">
      <c r="A446" s="226" t="s">
        <v>57</v>
      </c>
      <c r="B446" s="159" t="s">
        <v>105</v>
      </c>
      <c r="C446" s="178">
        <v>44162.0</v>
      </c>
      <c r="D446" s="179" t="s">
        <v>323</v>
      </c>
      <c r="E446" s="268">
        <v>54.27</v>
      </c>
      <c r="F446" s="163" t="s">
        <v>14</v>
      </c>
      <c r="G446" s="163" t="s">
        <v>16</v>
      </c>
      <c r="H446" s="227"/>
      <c r="J446" s="229" t="s">
        <v>57</v>
      </c>
      <c r="K446" s="274">
        <f t="shared" si="25"/>
        <v>434</v>
      </c>
      <c r="L446" s="237"/>
      <c r="M446" s="238"/>
      <c r="N446" s="239"/>
      <c r="O446" s="240"/>
      <c r="P446" s="225" t="str">
        <f t="shared" si="24"/>
        <v/>
      </c>
      <c r="Q446" s="172"/>
    </row>
    <row r="447">
      <c r="A447" s="226" t="s">
        <v>57</v>
      </c>
      <c r="B447" s="159" t="s">
        <v>82</v>
      </c>
      <c r="C447" s="178">
        <v>44165.0</v>
      </c>
      <c r="D447" s="179" t="s">
        <v>172</v>
      </c>
      <c r="E447" s="268">
        <v>113.1</v>
      </c>
      <c r="F447" s="163" t="s">
        <v>14</v>
      </c>
      <c r="G447" s="163" t="s">
        <v>16</v>
      </c>
      <c r="H447" s="235"/>
      <c r="J447" s="229" t="s">
        <v>57</v>
      </c>
      <c r="K447" s="278">
        <f t="shared" si="25"/>
        <v>435</v>
      </c>
      <c r="L447" s="243"/>
      <c r="M447" s="151"/>
      <c r="N447" s="244"/>
      <c r="O447" s="245"/>
      <c r="P447" s="225" t="str">
        <f t="shared" si="24"/>
        <v/>
      </c>
      <c r="Q447" s="172"/>
    </row>
    <row r="448">
      <c r="A448" s="226" t="s">
        <v>57</v>
      </c>
      <c r="B448" s="159" t="s">
        <v>75</v>
      </c>
      <c r="C448" s="178">
        <v>44165.0</v>
      </c>
      <c r="D448" s="179" t="s">
        <v>324</v>
      </c>
      <c r="E448" s="268">
        <v>26.98</v>
      </c>
      <c r="F448" s="163" t="s">
        <v>26</v>
      </c>
      <c r="G448" s="163" t="s">
        <v>27</v>
      </c>
      <c r="H448" s="227"/>
      <c r="J448" s="229" t="s">
        <v>57</v>
      </c>
      <c r="K448" s="278">
        <f t="shared" si="25"/>
        <v>436</v>
      </c>
      <c r="L448" s="243"/>
      <c r="M448" s="151"/>
      <c r="N448" s="244"/>
      <c r="O448" s="245"/>
      <c r="P448" s="225" t="str">
        <f t="shared" si="24"/>
        <v/>
      </c>
      <c r="Q448" s="172"/>
    </row>
    <row r="449">
      <c r="A449" s="226" t="s">
        <v>57</v>
      </c>
      <c r="B449" s="159"/>
      <c r="C449" s="178"/>
      <c r="D449" s="179"/>
      <c r="E449" s="268"/>
      <c r="F449" s="163"/>
      <c r="G449" s="163"/>
      <c r="H449" s="235"/>
      <c r="J449" s="229" t="s">
        <v>57</v>
      </c>
      <c r="K449" s="278">
        <f t="shared" si="25"/>
        <v>437</v>
      </c>
      <c r="L449" s="243"/>
      <c r="M449" s="151"/>
      <c r="N449" s="244"/>
      <c r="O449" s="245"/>
      <c r="P449" s="225" t="str">
        <f t="shared" si="24"/>
        <v/>
      </c>
      <c r="Q449" s="172"/>
    </row>
    <row r="450">
      <c r="A450" s="226" t="s">
        <v>57</v>
      </c>
      <c r="B450" s="159"/>
      <c r="C450" s="178"/>
      <c r="D450" s="179"/>
      <c r="E450" s="268"/>
      <c r="F450" s="163"/>
      <c r="G450" s="163"/>
      <c r="H450" s="227"/>
      <c r="J450" s="229" t="s">
        <v>57</v>
      </c>
      <c r="K450" s="278">
        <f t="shared" si="25"/>
        <v>438</v>
      </c>
      <c r="L450" s="243"/>
      <c r="M450" s="151"/>
      <c r="N450" s="244"/>
      <c r="O450" s="245"/>
      <c r="P450" s="225" t="str">
        <f t="shared" si="24"/>
        <v/>
      </c>
      <c r="Q450" s="172"/>
    </row>
    <row r="451">
      <c r="A451" s="226" t="s">
        <v>57</v>
      </c>
      <c r="B451" s="159"/>
      <c r="C451" s="178"/>
      <c r="D451" s="179"/>
      <c r="E451" s="268"/>
      <c r="F451" s="163"/>
      <c r="G451" s="163"/>
      <c r="H451" s="235"/>
      <c r="J451" s="229" t="s">
        <v>57</v>
      </c>
      <c r="K451" s="278">
        <f t="shared" si="25"/>
        <v>439</v>
      </c>
      <c r="L451" s="243"/>
      <c r="M451" s="151"/>
      <c r="N451" s="244"/>
      <c r="O451" s="245"/>
      <c r="P451" s="225" t="str">
        <f t="shared" si="24"/>
        <v/>
      </c>
      <c r="Q451" s="172"/>
    </row>
    <row r="452">
      <c r="A452" s="226" t="s">
        <v>57</v>
      </c>
      <c r="B452" s="159"/>
      <c r="C452" s="178"/>
      <c r="D452" s="179"/>
      <c r="E452" s="268"/>
      <c r="F452" s="163"/>
      <c r="G452" s="163"/>
      <c r="H452" s="227"/>
      <c r="J452" s="229" t="s">
        <v>57</v>
      </c>
      <c r="K452" s="278">
        <f t="shared" si="25"/>
        <v>440</v>
      </c>
      <c r="L452" s="243"/>
      <c r="M452" s="151"/>
      <c r="N452" s="244"/>
      <c r="O452" s="245"/>
      <c r="P452" s="225" t="str">
        <f t="shared" si="24"/>
        <v/>
      </c>
      <c r="Q452" s="172"/>
    </row>
    <row r="453">
      <c r="A453" s="226" t="s">
        <v>57</v>
      </c>
      <c r="B453" s="159"/>
      <c r="C453" s="178"/>
      <c r="D453" s="179"/>
      <c r="E453" s="268"/>
      <c r="F453" s="163"/>
      <c r="G453" s="163"/>
      <c r="H453" s="235"/>
      <c r="J453" s="229" t="s">
        <v>57</v>
      </c>
      <c r="K453" s="278">
        <f t="shared" si="25"/>
        <v>441</v>
      </c>
      <c r="L453" s="243"/>
      <c r="M453" s="151"/>
      <c r="N453" s="244"/>
      <c r="O453" s="245"/>
      <c r="P453" s="225" t="str">
        <f t="shared" si="24"/>
        <v/>
      </c>
      <c r="Q453" s="173"/>
    </row>
    <row r="454">
      <c r="A454" s="226" t="s">
        <v>57</v>
      </c>
      <c r="B454" s="159"/>
      <c r="C454" s="178"/>
      <c r="D454" s="179"/>
      <c r="E454" s="268"/>
      <c r="F454" s="163"/>
      <c r="G454" s="163"/>
      <c r="H454" s="227"/>
      <c r="J454" s="229" t="s">
        <v>57</v>
      </c>
      <c r="K454" s="278">
        <f t="shared" si="25"/>
        <v>442</v>
      </c>
      <c r="L454" s="243"/>
      <c r="M454" s="163"/>
      <c r="N454" s="223"/>
      <c r="O454" s="224"/>
      <c r="P454" s="225" t="str">
        <f t="shared" si="24"/>
        <v/>
      </c>
      <c r="Q454" s="173"/>
    </row>
    <row r="455">
      <c r="A455" s="226" t="s">
        <v>57</v>
      </c>
      <c r="B455" s="159"/>
      <c r="C455" s="178"/>
      <c r="D455" s="179"/>
      <c r="E455" s="268"/>
      <c r="F455" s="163"/>
      <c r="G455" s="163"/>
      <c r="H455" s="235"/>
      <c r="J455" s="229" t="s">
        <v>57</v>
      </c>
      <c r="K455" s="278">
        <f t="shared" si="25"/>
        <v>443</v>
      </c>
      <c r="L455" s="243"/>
      <c r="M455" s="163"/>
      <c r="N455" s="223"/>
      <c r="O455" s="224"/>
      <c r="P455" s="225" t="str">
        <f t="shared" si="24"/>
        <v/>
      </c>
      <c r="Q455" s="173"/>
    </row>
    <row r="456">
      <c r="A456" s="226" t="s">
        <v>57</v>
      </c>
      <c r="B456" s="159"/>
      <c r="C456" s="178"/>
      <c r="D456" s="179"/>
      <c r="E456" s="268"/>
      <c r="F456" s="163"/>
      <c r="G456" s="163"/>
      <c r="H456" s="227"/>
      <c r="J456" s="229" t="s">
        <v>57</v>
      </c>
      <c r="K456" s="278">
        <f t="shared" si="25"/>
        <v>444</v>
      </c>
      <c r="L456" s="243"/>
      <c r="M456" s="248"/>
      <c r="N456" s="223"/>
      <c r="O456" s="224"/>
      <c r="P456" s="225" t="str">
        <f t="shared" si="24"/>
        <v/>
      </c>
      <c r="Q456" s="173"/>
    </row>
    <row r="457">
      <c r="A457" s="226" t="s">
        <v>57</v>
      </c>
      <c r="B457" s="159"/>
      <c r="C457" s="178"/>
      <c r="D457" s="179"/>
      <c r="E457" s="268"/>
      <c r="F457" s="163"/>
      <c r="G457" s="163"/>
      <c r="H457" s="235"/>
      <c r="J457" s="229" t="s">
        <v>57</v>
      </c>
      <c r="K457" s="278">
        <f t="shared" si="25"/>
        <v>445</v>
      </c>
      <c r="L457" s="243"/>
      <c r="M457" s="248"/>
      <c r="N457" s="223"/>
      <c r="O457" s="224"/>
      <c r="P457" s="225" t="str">
        <f t="shared" si="24"/>
        <v/>
      </c>
      <c r="Q457" s="173"/>
    </row>
    <row r="458">
      <c r="A458" s="226" t="s">
        <v>57</v>
      </c>
      <c r="B458" s="159"/>
      <c r="C458" s="178"/>
      <c r="D458" s="179"/>
      <c r="E458" s="268"/>
      <c r="F458" s="163"/>
      <c r="G458" s="163"/>
      <c r="H458" s="227"/>
      <c r="J458" s="229" t="s">
        <v>57</v>
      </c>
      <c r="K458" s="278">
        <f t="shared" si="25"/>
        <v>446</v>
      </c>
      <c r="L458" s="243"/>
      <c r="M458" s="248"/>
      <c r="N458" s="223"/>
      <c r="O458" s="224"/>
      <c r="P458" s="225" t="str">
        <f t="shared" si="24"/>
        <v/>
      </c>
      <c r="Q458" s="173"/>
    </row>
    <row r="459">
      <c r="A459" s="226" t="s">
        <v>57</v>
      </c>
      <c r="B459" s="159"/>
      <c r="C459" s="178"/>
      <c r="D459" s="179"/>
      <c r="E459" s="268"/>
      <c r="F459" s="163"/>
      <c r="G459" s="163"/>
      <c r="H459" s="235"/>
      <c r="J459" s="229" t="s">
        <v>57</v>
      </c>
      <c r="K459" s="278">
        <f t="shared" si="25"/>
        <v>447</v>
      </c>
      <c r="L459" s="243"/>
      <c r="M459" s="249"/>
      <c r="N459" s="244"/>
      <c r="O459" s="245"/>
      <c r="P459" s="225" t="str">
        <f t="shared" si="24"/>
        <v/>
      </c>
      <c r="Q459" s="173"/>
    </row>
    <row r="460">
      <c r="A460" s="226" t="s">
        <v>57</v>
      </c>
      <c r="B460" s="159"/>
      <c r="C460" s="178"/>
      <c r="D460" s="179"/>
      <c r="E460" s="268"/>
      <c r="F460" s="163"/>
      <c r="G460" s="163"/>
      <c r="H460" s="227"/>
      <c r="J460" s="229" t="s">
        <v>57</v>
      </c>
      <c r="K460" s="278">
        <f t="shared" si="25"/>
        <v>448</v>
      </c>
      <c r="L460" s="243"/>
      <c r="M460" s="249"/>
      <c r="N460" s="244"/>
      <c r="O460" s="245"/>
      <c r="P460" s="225" t="str">
        <f t="shared" si="24"/>
        <v/>
      </c>
      <c r="Q460" s="173"/>
    </row>
    <row r="461">
      <c r="A461" s="226" t="s">
        <v>57</v>
      </c>
      <c r="B461" s="159"/>
      <c r="C461" s="178"/>
      <c r="D461" s="179"/>
      <c r="E461" s="268"/>
      <c r="F461" s="163"/>
      <c r="G461" s="163"/>
      <c r="H461" s="235"/>
      <c r="J461" s="229" t="s">
        <v>57</v>
      </c>
      <c r="K461" s="278">
        <f t="shared" si="25"/>
        <v>449</v>
      </c>
      <c r="L461" s="243"/>
      <c r="M461" s="249"/>
      <c r="N461" s="244"/>
      <c r="O461" s="245"/>
      <c r="P461" s="225" t="str">
        <f t="shared" si="24"/>
        <v/>
      </c>
      <c r="Q461" s="173"/>
    </row>
    <row r="462">
      <c r="A462" s="226" t="s">
        <v>57</v>
      </c>
      <c r="B462" s="159"/>
      <c r="C462" s="178"/>
      <c r="D462" s="179"/>
      <c r="E462" s="268"/>
      <c r="F462" s="163"/>
      <c r="G462" s="163"/>
      <c r="H462" s="227"/>
      <c r="J462" s="229" t="s">
        <v>57</v>
      </c>
      <c r="K462" s="278">
        <f t="shared" si="25"/>
        <v>450</v>
      </c>
      <c r="L462" s="243"/>
      <c r="M462" s="248"/>
      <c r="N462" s="244"/>
      <c r="O462" s="224"/>
      <c r="P462" s="225" t="str">
        <f t="shared" si="24"/>
        <v/>
      </c>
      <c r="Q462" s="173"/>
    </row>
    <row r="463">
      <c r="A463" s="250" t="s">
        <v>57</v>
      </c>
      <c r="B463" s="193"/>
      <c r="C463" s="194"/>
      <c r="D463" s="195"/>
      <c r="E463" s="270"/>
      <c r="F463" s="197"/>
      <c r="G463" s="197"/>
      <c r="H463" s="251"/>
      <c r="J463" s="252" t="s">
        <v>57</v>
      </c>
      <c r="K463" s="279">
        <f t="shared" si="25"/>
        <v>451</v>
      </c>
      <c r="L463" s="253"/>
      <c r="M463" s="254"/>
      <c r="N463" s="255"/>
      <c r="O463" s="256"/>
      <c r="P463" s="257" t="str">
        <f t="shared" si="24"/>
        <v/>
      </c>
      <c r="Q463" s="258"/>
    </row>
    <row r="464">
      <c r="K464" s="273"/>
      <c r="N464" s="177"/>
      <c r="O464" s="273"/>
      <c r="P464" s="177"/>
    </row>
    <row r="465">
      <c r="A465" s="215" t="s">
        <v>58</v>
      </c>
      <c r="B465" s="187" t="s">
        <v>109</v>
      </c>
      <c r="C465" s="188">
        <v>44137.0</v>
      </c>
      <c r="D465" s="189" t="s">
        <v>325</v>
      </c>
      <c r="E465" s="261">
        <v>15.0</v>
      </c>
      <c r="F465" s="153" t="s">
        <v>14</v>
      </c>
      <c r="G465" s="153" t="s">
        <v>16</v>
      </c>
      <c r="H465" s="217"/>
      <c r="J465" s="219" t="s">
        <v>58</v>
      </c>
      <c r="K465" s="262">
        <f>K463+1</f>
        <v>452</v>
      </c>
      <c r="L465" s="263"/>
      <c r="M465" s="264"/>
      <c r="N465" s="265"/>
      <c r="O465" s="266"/>
      <c r="P465" s="267" t="str">
        <f t="shared" ref="P465:P505" si="26">IFERROR($N465/$O465,"")</f>
        <v/>
      </c>
      <c r="Q465" s="191"/>
    </row>
    <row r="466">
      <c r="A466" s="226" t="s">
        <v>58</v>
      </c>
      <c r="B466" s="159" t="s">
        <v>75</v>
      </c>
      <c r="C466" s="178">
        <v>44166.0</v>
      </c>
      <c r="D466" s="179" t="s">
        <v>301</v>
      </c>
      <c r="E466" s="268">
        <v>5.0</v>
      </c>
      <c r="F466" s="163" t="s">
        <v>22</v>
      </c>
      <c r="G466" s="163" t="s">
        <v>24</v>
      </c>
      <c r="H466" s="227"/>
      <c r="J466" s="229" t="s">
        <v>58</v>
      </c>
      <c r="K466" s="230">
        <f t="shared" ref="K466:K505" si="27">K465+1</f>
        <v>453</v>
      </c>
      <c r="L466" s="231"/>
      <c r="M466" s="232"/>
      <c r="N466" s="233"/>
      <c r="O466" s="234"/>
      <c r="P466" s="225" t="str">
        <f t="shared" si="26"/>
        <v/>
      </c>
      <c r="Q466" s="172"/>
    </row>
    <row r="467">
      <c r="A467" s="226" t="s">
        <v>58</v>
      </c>
      <c r="B467" s="159" t="s">
        <v>75</v>
      </c>
      <c r="C467" s="178">
        <v>44167.0</v>
      </c>
      <c r="D467" s="179" t="s">
        <v>177</v>
      </c>
      <c r="E467" s="268">
        <v>59.0</v>
      </c>
      <c r="F467" s="163" t="s">
        <v>22</v>
      </c>
      <c r="G467" s="163" t="s">
        <v>24</v>
      </c>
      <c r="H467" s="235"/>
      <c r="J467" s="229" t="s">
        <v>58</v>
      </c>
      <c r="K467" s="230">
        <f t="shared" si="27"/>
        <v>454</v>
      </c>
      <c r="L467" s="231"/>
      <c r="M467" s="232"/>
      <c r="N467" s="233"/>
      <c r="O467" s="234"/>
      <c r="P467" s="225" t="str">
        <f t="shared" si="26"/>
        <v/>
      </c>
      <c r="Q467" s="172"/>
    </row>
    <row r="468">
      <c r="A468" s="226" t="s">
        <v>58</v>
      </c>
      <c r="B468" s="159" t="s">
        <v>89</v>
      </c>
      <c r="C468" s="178">
        <v>44168.0</v>
      </c>
      <c r="D468" s="179" t="s">
        <v>326</v>
      </c>
      <c r="E468" s="268">
        <v>30.0</v>
      </c>
      <c r="F468" s="163" t="s">
        <v>14</v>
      </c>
      <c r="G468" s="163" t="s">
        <v>16</v>
      </c>
      <c r="H468" s="227"/>
      <c r="J468" s="229" t="s">
        <v>58</v>
      </c>
      <c r="K468" s="230">
        <f t="shared" si="27"/>
        <v>455</v>
      </c>
      <c r="L468" s="231"/>
      <c r="M468" s="232"/>
      <c r="N468" s="233"/>
      <c r="O468" s="234"/>
      <c r="P468" s="225" t="str">
        <f t="shared" si="26"/>
        <v/>
      </c>
      <c r="Q468" s="172"/>
    </row>
    <row r="469">
      <c r="A469" s="226" t="s">
        <v>58</v>
      </c>
      <c r="B469" s="159" t="s">
        <v>111</v>
      </c>
      <c r="C469" s="178">
        <v>44169.0</v>
      </c>
      <c r="D469" s="179" t="s">
        <v>327</v>
      </c>
      <c r="E469" s="268">
        <v>450.0</v>
      </c>
      <c r="F469" s="163" t="s">
        <v>14</v>
      </c>
      <c r="G469" s="163" t="s">
        <v>16</v>
      </c>
      <c r="H469" s="235"/>
      <c r="J469" s="229" t="s">
        <v>58</v>
      </c>
      <c r="K469" s="274">
        <f t="shared" si="27"/>
        <v>456</v>
      </c>
      <c r="L469" s="237"/>
      <c r="M469" s="238"/>
      <c r="N469" s="239"/>
      <c r="O469" s="240"/>
      <c r="P469" s="225" t="str">
        <f t="shared" si="26"/>
        <v/>
      </c>
      <c r="Q469" s="172"/>
    </row>
    <row r="470">
      <c r="A470" s="226" t="s">
        <v>58</v>
      </c>
      <c r="B470" s="159" t="s">
        <v>107</v>
      </c>
      <c r="C470" s="178">
        <v>44169.0</v>
      </c>
      <c r="D470" s="179" t="s">
        <v>14</v>
      </c>
      <c r="E470" s="268">
        <v>289.78</v>
      </c>
      <c r="F470" s="163" t="s">
        <v>14</v>
      </c>
      <c r="G470" s="163" t="s">
        <v>16</v>
      </c>
      <c r="H470" s="247" t="s">
        <v>17</v>
      </c>
      <c r="J470" s="229" t="s">
        <v>58</v>
      </c>
      <c r="K470" s="274">
        <f t="shared" si="27"/>
        <v>457</v>
      </c>
      <c r="L470" s="237"/>
      <c r="M470" s="238"/>
      <c r="N470" s="239"/>
      <c r="O470" s="240"/>
      <c r="P470" s="225" t="str">
        <f t="shared" si="26"/>
        <v/>
      </c>
      <c r="Q470" s="172"/>
    </row>
    <row r="471">
      <c r="A471" s="226" t="s">
        <v>58</v>
      </c>
      <c r="B471" s="159" t="s">
        <v>109</v>
      </c>
      <c r="C471" s="178">
        <v>44172.0</v>
      </c>
      <c r="D471" s="179" t="s">
        <v>328</v>
      </c>
      <c r="E471" s="268">
        <v>100.0</v>
      </c>
      <c r="F471" s="163" t="s">
        <v>26</v>
      </c>
      <c r="G471" s="163" t="s">
        <v>27</v>
      </c>
      <c r="H471" s="235"/>
      <c r="J471" s="229" t="s">
        <v>58</v>
      </c>
      <c r="K471" s="274">
        <f t="shared" si="27"/>
        <v>458</v>
      </c>
      <c r="L471" s="237"/>
      <c r="M471" s="238"/>
      <c r="N471" s="239"/>
      <c r="O471" s="240"/>
      <c r="P471" s="225" t="str">
        <f t="shared" si="26"/>
        <v/>
      </c>
      <c r="Q471" s="172"/>
    </row>
    <row r="472">
      <c r="A472" s="226" t="s">
        <v>58</v>
      </c>
      <c r="B472" s="159" t="s">
        <v>109</v>
      </c>
      <c r="C472" s="178">
        <v>44176.0</v>
      </c>
      <c r="D472" s="179" t="s">
        <v>169</v>
      </c>
      <c r="E472" s="268">
        <v>75.9</v>
      </c>
      <c r="F472" s="163" t="s">
        <v>26</v>
      </c>
      <c r="G472" s="163" t="s">
        <v>27</v>
      </c>
      <c r="H472" s="227"/>
      <c r="J472" s="229" t="s">
        <v>58</v>
      </c>
      <c r="K472" s="274">
        <f t="shared" si="27"/>
        <v>459</v>
      </c>
      <c r="L472" s="237"/>
      <c r="M472" s="238"/>
      <c r="N472" s="239"/>
      <c r="O472" s="240"/>
      <c r="P472" s="225" t="str">
        <f t="shared" si="26"/>
        <v/>
      </c>
      <c r="Q472" s="172"/>
    </row>
    <row r="473">
      <c r="A473" s="226" t="s">
        <v>58</v>
      </c>
      <c r="B473" s="159" t="s">
        <v>75</v>
      </c>
      <c r="C473" s="178">
        <v>44183.0</v>
      </c>
      <c r="D473" s="179" t="s">
        <v>240</v>
      </c>
      <c r="E473" s="268">
        <v>8.0</v>
      </c>
      <c r="F473" s="163" t="s">
        <v>14</v>
      </c>
      <c r="G473" s="163" t="s">
        <v>16</v>
      </c>
      <c r="H473" s="281"/>
      <c r="J473" s="229" t="s">
        <v>58</v>
      </c>
      <c r="K473" s="274">
        <f t="shared" si="27"/>
        <v>460</v>
      </c>
      <c r="L473" s="237"/>
      <c r="M473" s="238"/>
      <c r="N473" s="239"/>
      <c r="O473" s="240"/>
      <c r="P473" s="225" t="str">
        <f t="shared" si="26"/>
        <v/>
      </c>
      <c r="Q473" s="172"/>
    </row>
    <row r="474">
      <c r="A474" s="226" t="s">
        <v>58</v>
      </c>
      <c r="B474" s="159" t="s">
        <v>93</v>
      </c>
      <c r="C474" s="178">
        <v>44185.0</v>
      </c>
      <c r="D474" s="179" t="s">
        <v>329</v>
      </c>
      <c r="E474" s="268">
        <v>100.0</v>
      </c>
      <c r="F474" s="163" t="s">
        <v>14</v>
      </c>
      <c r="G474" s="163" t="s">
        <v>16</v>
      </c>
      <c r="H474" s="247"/>
      <c r="J474" s="229" t="s">
        <v>58</v>
      </c>
      <c r="K474" s="274">
        <f t="shared" si="27"/>
        <v>461</v>
      </c>
      <c r="L474" s="237"/>
      <c r="M474" s="238"/>
      <c r="N474" s="239"/>
      <c r="O474" s="240"/>
      <c r="P474" s="225" t="str">
        <f t="shared" si="26"/>
        <v/>
      </c>
      <c r="Q474" s="172"/>
    </row>
    <row r="475">
      <c r="A475" s="226" t="s">
        <v>58</v>
      </c>
      <c r="B475" s="159" t="s">
        <v>93</v>
      </c>
      <c r="C475" s="178">
        <v>44185.0</v>
      </c>
      <c r="D475" s="179" t="s">
        <v>329</v>
      </c>
      <c r="E475" s="268">
        <v>20.0</v>
      </c>
      <c r="F475" s="163" t="s">
        <v>22</v>
      </c>
      <c r="G475" s="163" t="s">
        <v>24</v>
      </c>
      <c r="H475" s="235"/>
      <c r="J475" s="229" t="s">
        <v>58</v>
      </c>
      <c r="K475" s="274">
        <f t="shared" si="27"/>
        <v>462</v>
      </c>
      <c r="L475" s="237"/>
      <c r="M475" s="238"/>
      <c r="N475" s="239"/>
      <c r="O475" s="240"/>
      <c r="P475" s="225" t="str">
        <f t="shared" si="26"/>
        <v/>
      </c>
      <c r="Q475" s="172"/>
    </row>
    <row r="476">
      <c r="A476" s="226" t="s">
        <v>58</v>
      </c>
      <c r="B476" s="159" t="s">
        <v>109</v>
      </c>
      <c r="C476" s="178">
        <v>44186.0</v>
      </c>
      <c r="D476" s="179" t="s">
        <v>330</v>
      </c>
      <c r="E476" s="268">
        <v>100.0</v>
      </c>
      <c r="F476" s="163" t="s">
        <v>26</v>
      </c>
      <c r="G476" s="163" t="s">
        <v>27</v>
      </c>
      <c r="H476" s="227"/>
      <c r="J476" s="229" t="s">
        <v>58</v>
      </c>
      <c r="K476" s="274">
        <f t="shared" si="27"/>
        <v>463</v>
      </c>
      <c r="L476" s="237"/>
      <c r="M476" s="238"/>
      <c r="N476" s="239"/>
      <c r="O476" s="240"/>
      <c r="P476" s="225" t="str">
        <f t="shared" si="26"/>
        <v/>
      </c>
      <c r="Q476" s="172"/>
    </row>
    <row r="477">
      <c r="A477" s="226" t="s">
        <v>58</v>
      </c>
      <c r="B477" s="159" t="s">
        <v>82</v>
      </c>
      <c r="C477" s="178">
        <v>44187.0</v>
      </c>
      <c r="D477" s="179" t="s">
        <v>172</v>
      </c>
      <c r="E477" s="268">
        <v>103.52</v>
      </c>
      <c r="F477" s="163" t="s">
        <v>14</v>
      </c>
      <c r="G477" s="163" t="s">
        <v>16</v>
      </c>
      <c r="H477" s="235"/>
      <c r="J477" s="229" t="s">
        <v>58</v>
      </c>
      <c r="K477" s="274">
        <f t="shared" si="27"/>
        <v>464</v>
      </c>
      <c r="L477" s="237"/>
      <c r="M477" s="238"/>
      <c r="N477" s="239"/>
      <c r="O477" s="240"/>
      <c r="P477" s="225" t="str">
        <f t="shared" si="26"/>
        <v/>
      </c>
      <c r="Q477" s="172"/>
    </row>
    <row r="478">
      <c r="A478" s="226" t="s">
        <v>58</v>
      </c>
      <c r="B478" s="159" t="s">
        <v>75</v>
      </c>
      <c r="C478" s="178">
        <v>44191.0</v>
      </c>
      <c r="D478" s="179" t="s">
        <v>331</v>
      </c>
      <c r="E478" s="268">
        <v>61.13</v>
      </c>
      <c r="F478" s="163" t="s">
        <v>14</v>
      </c>
      <c r="G478" s="163" t="s">
        <v>16</v>
      </c>
      <c r="H478" s="227"/>
      <c r="J478" s="229" t="s">
        <v>58</v>
      </c>
      <c r="K478" s="274">
        <f t="shared" si="27"/>
        <v>465</v>
      </c>
      <c r="L478" s="237"/>
      <c r="M478" s="238"/>
      <c r="N478" s="239"/>
      <c r="O478" s="240"/>
      <c r="P478" s="225" t="str">
        <f t="shared" si="26"/>
        <v/>
      </c>
      <c r="Q478" s="172"/>
    </row>
    <row r="479">
      <c r="A479" s="226" t="s">
        <v>58</v>
      </c>
      <c r="B479" s="159" t="s">
        <v>75</v>
      </c>
      <c r="C479" s="178">
        <v>44192.0</v>
      </c>
      <c r="D479" s="179" t="s">
        <v>288</v>
      </c>
      <c r="E479" s="268">
        <v>48.0</v>
      </c>
      <c r="F479" s="163" t="s">
        <v>14</v>
      </c>
      <c r="G479" s="163" t="s">
        <v>16</v>
      </c>
      <c r="H479" s="235"/>
      <c r="J479" s="229" t="s">
        <v>58</v>
      </c>
      <c r="K479" s="274">
        <f t="shared" si="27"/>
        <v>466</v>
      </c>
      <c r="L479" s="237"/>
      <c r="M479" s="238"/>
      <c r="N479" s="239"/>
      <c r="O479" s="240"/>
      <c r="P479" s="225" t="str">
        <f t="shared" si="26"/>
        <v/>
      </c>
      <c r="Q479" s="172"/>
    </row>
    <row r="480">
      <c r="A480" s="226" t="s">
        <v>58</v>
      </c>
      <c r="B480" s="159" t="s">
        <v>75</v>
      </c>
      <c r="C480" s="178">
        <v>44196.0</v>
      </c>
      <c r="D480" s="179" t="s">
        <v>332</v>
      </c>
      <c r="E480" s="268">
        <v>6.0</v>
      </c>
      <c r="F480" s="163" t="s">
        <v>22</v>
      </c>
      <c r="G480" s="163" t="s">
        <v>24</v>
      </c>
      <c r="H480" s="227"/>
      <c r="J480" s="229" t="s">
        <v>58</v>
      </c>
      <c r="K480" s="274">
        <f t="shared" si="27"/>
        <v>467</v>
      </c>
      <c r="L480" s="237"/>
      <c r="M480" s="238"/>
      <c r="N480" s="239"/>
      <c r="O480" s="240"/>
      <c r="P480" s="225" t="str">
        <f t="shared" si="26"/>
        <v/>
      </c>
      <c r="Q480" s="172"/>
    </row>
    <row r="481">
      <c r="A481" s="226" t="s">
        <v>58</v>
      </c>
      <c r="B481" s="159" t="s">
        <v>75</v>
      </c>
      <c r="C481" s="178">
        <v>44196.0</v>
      </c>
      <c r="D481" s="179" t="s">
        <v>333</v>
      </c>
      <c r="E481" s="268">
        <v>13.2</v>
      </c>
      <c r="F481" s="163" t="s">
        <v>14</v>
      </c>
      <c r="G481" s="163" t="s">
        <v>16</v>
      </c>
      <c r="H481" s="235"/>
      <c r="J481" s="229" t="s">
        <v>58</v>
      </c>
      <c r="K481" s="274">
        <f t="shared" si="27"/>
        <v>468</v>
      </c>
      <c r="L481" s="237"/>
      <c r="M481" s="238"/>
      <c r="N481" s="239"/>
      <c r="O481" s="240"/>
      <c r="P481" s="225" t="str">
        <f t="shared" si="26"/>
        <v/>
      </c>
      <c r="Q481" s="172"/>
    </row>
    <row r="482">
      <c r="A482" s="226" t="s">
        <v>58</v>
      </c>
      <c r="B482" s="159"/>
      <c r="C482" s="178"/>
      <c r="D482" s="179"/>
      <c r="E482" s="268"/>
      <c r="F482" s="163"/>
      <c r="G482" s="269"/>
      <c r="H482" s="227"/>
      <c r="J482" s="229" t="s">
        <v>58</v>
      </c>
      <c r="K482" s="274">
        <f t="shared" si="27"/>
        <v>469</v>
      </c>
      <c r="L482" s="237"/>
      <c r="M482" s="238"/>
      <c r="N482" s="239"/>
      <c r="O482" s="240"/>
      <c r="P482" s="225" t="str">
        <f t="shared" si="26"/>
        <v/>
      </c>
      <c r="Q482" s="172"/>
    </row>
    <row r="483">
      <c r="A483" s="226" t="s">
        <v>58</v>
      </c>
      <c r="B483" s="159"/>
      <c r="C483" s="178"/>
      <c r="D483" s="179"/>
      <c r="E483" s="268"/>
      <c r="F483" s="163"/>
      <c r="G483" s="269"/>
      <c r="H483" s="235"/>
      <c r="J483" s="229" t="s">
        <v>58</v>
      </c>
      <c r="K483" s="274">
        <f t="shared" si="27"/>
        <v>470</v>
      </c>
      <c r="L483" s="237"/>
      <c r="M483" s="238"/>
      <c r="N483" s="239"/>
      <c r="O483" s="240"/>
      <c r="P483" s="225" t="str">
        <f t="shared" si="26"/>
        <v/>
      </c>
      <c r="Q483" s="172"/>
    </row>
    <row r="484">
      <c r="A484" s="226" t="s">
        <v>58</v>
      </c>
      <c r="B484" s="159"/>
      <c r="C484" s="178"/>
      <c r="D484" s="179"/>
      <c r="E484" s="268"/>
      <c r="F484" s="163"/>
      <c r="G484" s="269"/>
      <c r="H484" s="227"/>
      <c r="J484" s="229" t="s">
        <v>58</v>
      </c>
      <c r="K484" s="274">
        <f t="shared" si="27"/>
        <v>471</v>
      </c>
      <c r="L484" s="237"/>
      <c r="M484" s="238"/>
      <c r="N484" s="239"/>
      <c r="O484" s="240"/>
      <c r="P484" s="225" t="str">
        <f t="shared" si="26"/>
        <v/>
      </c>
      <c r="Q484" s="172"/>
    </row>
    <row r="485">
      <c r="A485" s="226" t="s">
        <v>58</v>
      </c>
      <c r="B485" s="159"/>
      <c r="C485" s="178"/>
      <c r="D485" s="179"/>
      <c r="E485" s="268"/>
      <c r="F485" s="163"/>
      <c r="G485" s="269"/>
      <c r="H485" s="235"/>
      <c r="J485" s="229" t="s">
        <v>58</v>
      </c>
      <c r="K485" s="274">
        <f t="shared" si="27"/>
        <v>472</v>
      </c>
      <c r="L485" s="237"/>
      <c r="M485" s="238"/>
      <c r="N485" s="239"/>
      <c r="O485" s="240"/>
      <c r="P485" s="225" t="str">
        <f t="shared" si="26"/>
        <v/>
      </c>
      <c r="Q485" s="172"/>
    </row>
    <row r="486">
      <c r="A486" s="226" t="s">
        <v>58</v>
      </c>
      <c r="B486" s="159"/>
      <c r="C486" s="178"/>
      <c r="D486" s="179"/>
      <c r="E486" s="268"/>
      <c r="F486" s="163"/>
      <c r="G486" s="269"/>
      <c r="H486" s="227"/>
      <c r="J486" s="229" t="s">
        <v>58</v>
      </c>
      <c r="K486" s="274">
        <f t="shared" si="27"/>
        <v>473</v>
      </c>
      <c r="L486" s="237"/>
      <c r="M486" s="238"/>
      <c r="N486" s="239"/>
      <c r="O486" s="240"/>
      <c r="P486" s="225" t="str">
        <f t="shared" si="26"/>
        <v/>
      </c>
      <c r="Q486" s="172"/>
    </row>
    <row r="487">
      <c r="A487" s="226" t="s">
        <v>58</v>
      </c>
      <c r="B487" s="159"/>
      <c r="C487" s="178"/>
      <c r="D487" s="179"/>
      <c r="E487" s="268"/>
      <c r="F487" s="163"/>
      <c r="G487" s="269"/>
      <c r="H487" s="235"/>
      <c r="J487" s="229" t="s">
        <v>58</v>
      </c>
      <c r="K487" s="274">
        <f t="shared" si="27"/>
        <v>474</v>
      </c>
      <c r="L487" s="237"/>
      <c r="M487" s="238"/>
      <c r="N487" s="239"/>
      <c r="O487" s="240"/>
      <c r="P487" s="225" t="str">
        <f t="shared" si="26"/>
        <v/>
      </c>
      <c r="Q487" s="172"/>
    </row>
    <row r="488">
      <c r="A488" s="226" t="s">
        <v>58</v>
      </c>
      <c r="B488" s="159"/>
      <c r="C488" s="178"/>
      <c r="D488" s="179"/>
      <c r="E488" s="268"/>
      <c r="F488" s="163"/>
      <c r="G488" s="269"/>
      <c r="H488" s="227"/>
      <c r="J488" s="229" t="s">
        <v>58</v>
      </c>
      <c r="K488" s="274">
        <f t="shared" si="27"/>
        <v>475</v>
      </c>
      <c r="L488" s="237"/>
      <c r="M488" s="238"/>
      <c r="N488" s="239"/>
      <c r="O488" s="240"/>
      <c r="P488" s="225" t="str">
        <f t="shared" si="26"/>
        <v/>
      </c>
      <c r="Q488" s="172"/>
    </row>
    <row r="489">
      <c r="A489" s="226" t="s">
        <v>58</v>
      </c>
      <c r="B489" s="159"/>
      <c r="C489" s="178"/>
      <c r="D489" s="179"/>
      <c r="E489" s="268"/>
      <c r="F489" s="163"/>
      <c r="G489" s="163"/>
      <c r="H489" s="235"/>
      <c r="J489" s="229" t="s">
        <v>58</v>
      </c>
      <c r="K489" s="278">
        <f t="shared" si="27"/>
        <v>476</v>
      </c>
      <c r="L489" s="243"/>
      <c r="M489" s="151"/>
      <c r="N489" s="244"/>
      <c r="O489" s="245"/>
      <c r="P489" s="225" t="str">
        <f t="shared" si="26"/>
        <v/>
      </c>
      <c r="Q489" s="172"/>
    </row>
    <row r="490">
      <c r="A490" s="226" t="s">
        <v>58</v>
      </c>
      <c r="B490" s="159"/>
      <c r="C490" s="178"/>
      <c r="D490" s="179"/>
      <c r="E490" s="268"/>
      <c r="F490" s="163"/>
      <c r="G490" s="163"/>
      <c r="H490" s="227"/>
      <c r="J490" s="229" t="s">
        <v>58</v>
      </c>
      <c r="K490" s="278">
        <f t="shared" si="27"/>
        <v>477</v>
      </c>
      <c r="L490" s="243"/>
      <c r="M490" s="151"/>
      <c r="N490" s="244"/>
      <c r="O490" s="245"/>
      <c r="P490" s="225" t="str">
        <f t="shared" si="26"/>
        <v/>
      </c>
      <c r="Q490" s="172"/>
    </row>
    <row r="491">
      <c r="A491" s="226" t="s">
        <v>58</v>
      </c>
      <c r="B491" s="159"/>
      <c r="C491" s="178"/>
      <c r="D491" s="179"/>
      <c r="E491" s="268"/>
      <c r="F491" s="163"/>
      <c r="G491" s="163"/>
      <c r="H491" s="235"/>
      <c r="J491" s="229" t="s">
        <v>58</v>
      </c>
      <c r="K491" s="278">
        <f t="shared" si="27"/>
        <v>478</v>
      </c>
      <c r="L491" s="243"/>
      <c r="M491" s="151"/>
      <c r="N491" s="244"/>
      <c r="O491" s="245"/>
      <c r="P491" s="225" t="str">
        <f t="shared" si="26"/>
        <v/>
      </c>
      <c r="Q491" s="172"/>
    </row>
    <row r="492">
      <c r="A492" s="226" t="s">
        <v>58</v>
      </c>
      <c r="B492" s="159"/>
      <c r="C492" s="178"/>
      <c r="D492" s="179"/>
      <c r="E492" s="268"/>
      <c r="F492" s="163"/>
      <c r="G492" s="163"/>
      <c r="H492" s="227"/>
      <c r="J492" s="229" t="s">
        <v>58</v>
      </c>
      <c r="K492" s="278">
        <f t="shared" si="27"/>
        <v>479</v>
      </c>
      <c r="L492" s="243"/>
      <c r="M492" s="151"/>
      <c r="N492" s="244"/>
      <c r="O492" s="245"/>
      <c r="P492" s="225" t="str">
        <f t="shared" si="26"/>
        <v/>
      </c>
      <c r="Q492" s="172"/>
    </row>
    <row r="493">
      <c r="A493" s="226" t="s">
        <v>58</v>
      </c>
      <c r="B493" s="159"/>
      <c r="C493" s="178"/>
      <c r="D493" s="179"/>
      <c r="E493" s="268"/>
      <c r="F493" s="163"/>
      <c r="G493" s="163"/>
      <c r="H493" s="235"/>
      <c r="J493" s="229" t="s">
        <v>58</v>
      </c>
      <c r="K493" s="278">
        <f t="shared" si="27"/>
        <v>480</v>
      </c>
      <c r="L493" s="243"/>
      <c r="M493" s="151"/>
      <c r="N493" s="244"/>
      <c r="O493" s="245"/>
      <c r="P493" s="225" t="str">
        <f t="shared" si="26"/>
        <v/>
      </c>
      <c r="Q493" s="172"/>
    </row>
    <row r="494">
      <c r="A494" s="226" t="s">
        <v>58</v>
      </c>
      <c r="B494" s="159"/>
      <c r="C494" s="178"/>
      <c r="D494" s="179"/>
      <c r="E494" s="268"/>
      <c r="F494" s="163"/>
      <c r="G494" s="163"/>
      <c r="H494" s="227"/>
      <c r="J494" s="229" t="s">
        <v>58</v>
      </c>
      <c r="K494" s="278">
        <f t="shared" si="27"/>
        <v>481</v>
      </c>
      <c r="L494" s="243"/>
      <c r="M494" s="151"/>
      <c r="N494" s="244"/>
      <c r="O494" s="245"/>
      <c r="P494" s="225" t="str">
        <f t="shared" si="26"/>
        <v/>
      </c>
      <c r="Q494" s="172"/>
    </row>
    <row r="495">
      <c r="A495" s="226" t="s">
        <v>58</v>
      </c>
      <c r="B495" s="159"/>
      <c r="C495" s="178"/>
      <c r="D495" s="179"/>
      <c r="E495" s="268"/>
      <c r="F495" s="163"/>
      <c r="G495" s="163"/>
      <c r="H495" s="235"/>
      <c r="J495" s="229" t="s">
        <v>58</v>
      </c>
      <c r="K495" s="278">
        <f t="shared" si="27"/>
        <v>482</v>
      </c>
      <c r="L495" s="243"/>
      <c r="M495" s="151"/>
      <c r="N495" s="244"/>
      <c r="O495" s="245"/>
      <c r="P495" s="225" t="str">
        <f t="shared" si="26"/>
        <v/>
      </c>
      <c r="Q495" s="173"/>
    </row>
    <row r="496">
      <c r="A496" s="226" t="s">
        <v>58</v>
      </c>
      <c r="B496" s="159"/>
      <c r="C496" s="178"/>
      <c r="D496" s="179"/>
      <c r="E496" s="268"/>
      <c r="F496" s="163"/>
      <c r="G496" s="163"/>
      <c r="H496" s="227"/>
      <c r="J496" s="229" t="s">
        <v>58</v>
      </c>
      <c r="K496" s="278">
        <f t="shared" si="27"/>
        <v>483</v>
      </c>
      <c r="L496" s="243"/>
      <c r="M496" s="163"/>
      <c r="N496" s="223"/>
      <c r="O496" s="224"/>
      <c r="P496" s="225" t="str">
        <f t="shared" si="26"/>
        <v/>
      </c>
      <c r="Q496" s="173"/>
    </row>
    <row r="497">
      <c r="A497" s="226" t="s">
        <v>58</v>
      </c>
      <c r="B497" s="159"/>
      <c r="C497" s="178"/>
      <c r="D497" s="179"/>
      <c r="E497" s="268"/>
      <c r="F497" s="163"/>
      <c r="G497" s="163"/>
      <c r="H497" s="235"/>
      <c r="J497" s="229" t="s">
        <v>58</v>
      </c>
      <c r="K497" s="278">
        <f t="shared" si="27"/>
        <v>484</v>
      </c>
      <c r="L497" s="243"/>
      <c r="M497" s="163"/>
      <c r="N497" s="223"/>
      <c r="O497" s="224"/>
      <c r="P497" s="225" t="str">
        <f t="shared" si="26"/>
        <v/>
      </c>
      <c r="Q497" s="173"/>
    </row>
    <row r="498">
      <c r="A498" s="226" t="s">
        <v>58</v>
      </c>
      <c r="B498" s="159"/>
      <c r="C498" s="178"/>
      <c r="D498" s="179"/>
      <c r="E498" s="268"/>
      <c r="F498" s="163"/>
      <c r="G498" s="163"/>
      <c r="H498" s="227"/>
      <c r="J498" s="229" t="s">
        <v>58</v>
      </c>
      <c r="K498" s="278">
        <f t="shared" si="27"/>
        <v>485</v>
      </c>
      <c r="L498" s="243"/>
      <c r="M498" s="248"/>
      <c r="N498" s="223"/>
      <c r="O498" s="224"/>
      <c r="P498" s="225" t="str">
        <f t="shared" si="26"/>
        <v/>
      </c>
      <c r="Q498" s="173"/>
    </row>
    <row r="499">
      <c r="A499" s="226" t="s">
        <v>58</v>
      </c>
      <c r="B499" s="159"/>
      <c r="C499" s="178"/>
      <c r="D499" s="179"/>
      <c r="E499" s="268"/>
      <c r="F499" s="163"/>
      <c r="G499" s="163"/>
      <c r="H499" s="235"/>
      <c r="J499" s="229" t="s">
        <v>58</v>
      </c>
      <c r="K499" s="278">
        <f t="shared" si="27"/>
        <v>486</v>
      </c>
      <c r="L499" s="243"/>
      <c r="M499" s="248"/>
      <c r="N499" s="223"/>
      <c r="O499" s="224"/>
      <c r="P499" s="225" t="str">
        <f t="shared" si="26"/>
        <v/>
      </c>
      <c r="Q499" s="173"/>
    </row>
    <row r="500">
      <c r="A500" s="226" t="s">
        <v>58</v>
      </c>
      <c r="B500" s="159"/>
      <c r="C500" s="178"/>
      <c r="D500" s="179"/>
      <c r="E500" s="268"/>
      <c r="F500" s="163"/>
      <c r="G500" s="163"/>
      <c r="H500" s="227"/>
      <c r="J500" s="229" t="s">
        <v>58</v>
      </c>
      <c r="K500" s="278">
        <f t="shared" si="27"/>
        <v>487</v>
      </c>
      <c r="L500" s="243"/>
      <c r="M500" s="248"/>
      <c r="N500" s="223"/>
      <c r="O500" s="224"/>
      <c r="P500" s="225" t="str">
        <f t="shared" si="26"/>
        <v/>
      </c>
      <c r="Q500" s="173"/>
    </row>
    <row r="501">
      <c r="A501" s="226" t="s">
        <v>58</v>
      </c>
      <c r="B501" s="159"/>
      <c r="C501" s="178"/>
      <c r="D501" s="179"/>
      <c r="E501" s="268"/>
      <c r="F501" s="163"/>
      <c r="G501" s="163"/>
      <c r="H501" s="235"/>
      <c r="J501" s="229" t="s">
        <v>58</v>
      </c>
      <c r="K501" s="278">
        <f t="shared" si="27"/>
        <v>488</v>
      </c>
      <c r="L501" s="243"/>
      <c r="M501" s="249"/>
      <c r="N501" s="244"/>
      <c r="O501" s="245"/>
      <c r="P501" s="225" t="str">
        <f t="shared" si="26"/>
        <v/>
      </c>
      <c r="Q501" s="173"/>
    </row>
    <row r="502">
      <c r="A502" s="226" t="s">
        <v>58</v>
      </c>
      <c r="B502" s="159"/>
      <c r="C502" s="178"/>
      <c r="D502" s="179"/>
      <c r="E502" s="268"/>
      <c r="F502" s="163"/>
      <c r="G502" s="163"/>
      <c r="H502" s="227"/>
      <c r="J502" s="229" t="s">
        <v>58</v>
      </c>
      <c r="K502" s="278">
        <f t="shared" si="27"/>
        <v>489</v>
      </c>
      <c r="L502" s="243"/>
      <c r="M502" s="249"/>
      <c r="N502" s="244"/>
      <c r="O502" s="245"/>
      <c r="P502" s="225" t="str">
        <f t="shared" si="26"/>
        <v/>
      </c>
      <c r="Q502" s="173"/>
    </row>
    <row r="503">
      <c r="A503" s="226" t="s">
        <v>58</v>
      </c>
      <c r="B503" s="159"/>
      <c r="C503" s="178"/>
      <c r="D503" s="179"/>
      <c r="E503" s="268"/>
      <c r="F503" s="163"/>
      <c r="G503" s="163"/>
      <c r="H503" s="235"/>
      <c r="J503" s="229" t="s">
        <v>58</v>
      </c>
      <c r="K503" s="278">
        <f t="shared" si="27"/>
        <v>490</v>
      </c>
      <c r="L503" s="243"/>
      <c r="M503" s="249"/>
      <c r="N503" s="244"/>
      <c r="O503" s="245"/>
      <c r="P503" s="225" t="str">
        <f t="shared" si="26"/>
        <v/>
      </c>
      <c r="Q503" s="173"/>
    </row>
    <row r="504">
      <c r="A504" s="226" t="s">
        <v>58</v>
      </c>
      <c r="B504" s="159"/>
      <c r="C504" s="178"/>
      <c r="D504" s="179"/>
      <c r="E504" s="268"/>
      <c r="F504" s="163"/>
      <c r="G504" s="163"/>
      <c r="H504" s="227"/>
      <c r="J504" s="229" t="s">
        <v>58</v>
      </c>
      <c r="K504" s="278">
        <f t="shared" si="27"/>
        <v>491</v>
      </c>
      <c r="L504" s="243"/>
      <c r="M504" s="248"/>
      <c r="N504" s="244"/>
      <c r="O504" s="224"/>
      <c r="P504" s="225" t="str">
        <f t="shared" si="26"/>
        <v/>
      </c>
      <c r="Q504" s="173"/>
    </row>
    <row r="505">
      <c r="A505" s="250" t="s">
        <v>58</v>
      </c>
      <c r="B505" s="193"/>
      <c r="C505" s="194"/>
      <c r="D505" s="195"/>
      <c r="E505" s="270"/>
      <c r="F505" s="197"/>
      <c r="G505" s="197"/>
      <c r="H505" s="251"/>
      <c r="J505" s="252" t="s">
        <v>58</v>
      </c>
      <c r="K505" s="279">
        <f t="shared" si="27"/>
        <v>492</v>
      </c>
      <c r="L505" s="253"/>
      <c r="M505" s="254"/>
      <c r="N505" s="255"/>
      <c r="O505" s="256"/>
      <c r="P505" s="257" t="str">
        <f t="shared" si="26"/>
        <v/>
      </c>
      <c r="Q505" s="258"/>
    </row>
    <row r="506">
      <c r="K506" s="273"/>
      <c r="N506" s="177"/>
      <c r="O506" s="273"/>
      <c r="P506" s="177"/>
    </row>
    <row r="507">
      <c r="K507" s="273"/>
      <c r="N507" s="177"/>
      <c r="O507" s="273"/>
      <c r="P507" s="177"/>
    </row>
    <row r="508">
      <c r="K508" s="273"/>
      <c r="N508" s="177"/>
      <c r="O508" s="273"/>
      <c r="P508" s="177"/>
    </row>
    <row r="509">
      <c r="K509" s="273"/>
      <c r="N509" s="177"/>
      <c r="O509" s="273"/>
      <c r="P509" s="177"/>
    </row>
    <row r="510">
      <c r="K510" s="273"/>
      <c r="N510" s="177"/>
      <c r="O510" s="273"/>
      <c r="P510" s="177"/>
    </row>
    <row r="511">
      <c r="K511" s="273"/>
      <c r="N511" s="177"/>
      <c r="O511" s="273"/>
      <c r="P511" s="177"/>
    </row>
    <row r="512">
      <c r="K512" s="273"/>
      <c r="N512" s="177"/>
      <c r="O512" s="273"/>
      <c r="P512" s="177"/>
    </row>
    <row r="513">
      <c r="K513" s="273"/>
      <c r="N513" s="177"/>
      <c r="O513" s="273"/>
      <c r="P513" s="177"/>
    </row>
    <row r="514">
      <c r="K514" s="273"/>
      <c r="N514" s="177"/>
      <c r="O514" s="273"/>
      <c r="P514" s="177"/>
    </row>
    <row r="515">
      <c r="K515" s="273"/>
      <c r="N515" s="177"/>
      <c r="O515" s="273"/>
      <c r="P515" s="177"/>
    </row>
    <row r="516">
      <c r="K516" s="273"/>
      <c r="N516" s="177"/>
      <c r="O516" s="273"/>
      <c r="P516" s="177"/>
    </row>
    <row r="517">
      <c r="K517" s="273"/>
      <c r="N517" s="177"/>
      <c r="O517" s="273"/>
      <c r="P517" s="177"/>
    </row>
    <row r="518">
      <c r="K518" s="273"/>
      <c r="N518" s="177"/>
      <c r="O518" s="273"/>
      <c r="P518" s="177"/>
    </row>
    <row r="519">
      <c r="K519" s="273"/>
      <c r="N519" s="177"/>
      <c r="O519" s="273"/>
      <c r="P519" s="177"/>
    </row>
    <row r="520">
      <c r="K520" s="273"/>
      <c r="N520" s="177"/>
      <c r="O520" s="273"/>
      <c r="P520" s="177"/>
    </row>
    <row r="521">
      <c r="K521" s="273"/>
      <c r="N521" s="177"/>
      <c r="O521" s="273"/>
      <c r="P521" s="177"/>
    </row>
    <row r="522">
      <c r="K522" s="273"/>
      <c r="N522" s="177"/>
      <c r="O522" s="273"/>
      <c r="P522" s="177"/>
    </row>
    <row r="523">
      <c r="K523" s="273"/>
      <c r="N523" s="177"/>
      <c r="O523" s="273"/>
      <c r="P523" s="177"/>
    </row>
    <row r="524">
      <c r="K524" s="273"/>
      <c r="N524" s="177"/>
      <c r="O524" s="273"/>
      <c r="P524" s="177"/>
    </row>
    <row r="525">
      <c r="K525" s="273"/>
      <c r="N525" s="177"/>
      <c r="O525" s="273"/>
      <c r="P525" s="177"/>
    </row>
    <row r="526">
      <c r="K526" s="273"/>
      <c r="N526" s="177"/>
      <c r="O526" s="273"/>
      <c r="P526" s="177"/>
    </row>
    <row r="527">
      <c r="K527" s="273"/>
      <c r="N527" s="177"/>
      <c r="O527" s="273"/>
      <c r="P527" s="177"/>
    </row>
    <row r="528">
      <c r="K528" s="273"/>
      <c r="N528" s="177"/>
      <c r="O528" s="273"/>
      <c r="P528" s="177"/>
    </row>
    <row r="529">
      <c r="K529" s="273"/>
      <c r="N529" s="177"/>
      <c r="O529" s="273"/>
      <c r="P529" s="177"/>
    </row>
    <row r="530">
      <c r="K530" s="273"/>
      <c r="N530" s="177"/>
      <c r="O530" s="273"/>
      <c r="P530" s="177"/>
    </row>
    <row r="531">
      <c r="K531" s="273"/>
      <c r="N531" s="177"/>
      <c r="O531" s="273"/>
      <c r="P531" s="177"/>
    </row>
    <row r="532">
      <c r="K532" s="273"/>
      <c r="N532" s="177"/>
      <c r="O532" s="273"/>
      <c r="P532" s="177"/>
    </row>
    <row r="533">
      <c r="K533" s="273"/>
      <c r="N533" s="177"/>
      <c r="O533" s="273"/>
      <c r="P533" s="177"/>
    </row>
    <row r="534">
      <c r="K534" s="273"/>
      <c r="N534" s="177"/>
      <c r="O534" s="273"/>
      <c r="P534" s="177"/>
    </row>
    <row r="535">
      <c r="K535" s="273"/>
      <c r="N535" s="177"/>
      <c r="O535" s="273"/>
      <c r="P535" s="177"/>
    </row>
    <row r="536">
      <c r="K536" s="273"/>
      <c r="N536" s="177"/>
      <c r="O536" s="273"/>
      <c r="P536" s="177"/>
    </row>
    <row r="537">
      <c r="K537" s="273"/>
      <c r="N537" s="177"/>
      <c r="O537" s="273"/>
      <c r="P537" s="177"/>
    </row>
    <row r="538">
      <c r="K538" s="273"/>
      <c r="N538" s="177"/>
      <c r="O538" s="273"/>
      <c r="P538" s="177"/>
    </row>
    <row r="539">
      <c r="K539" s="273"/>
      <c r="N539" s="177"/>
      <c r="O539" s="273"/>
      <c r="P539" s="177"/>
    </row>
    <row r="540">
      <c r="K540" s="273"/>
      <c r="N540" s="177"/>
      <c r="O540" s="273"/>
      <c r="P540" s="177"/>
    </row>
    <row r="541">
      <c r="K541" s="273"/>
      <c r="N541" s="177"/>
      <c r="O541" s="273"/>
      <c r="P541" s="177"/>
    </row>
    <row r="542">
      <c r="K542" s="273"/>
      <c r="N542" s="177"/>
      <c r="O542" s="273"/>
      <c r="P542" s="177"/>
    </row>
    <row r="543">
      <c r="K543" s="273"/>
      <c r="N543" s="177"/>
      <c r="O543" s="273"/>
      <c r="P543" s="177"/>
    </row>
    <row r="544">
      <c r="K544" s="273"/>
      <c r="N544" s="177"/>
      <c r="O544" s="273"/>
      <c r="P544" s="177"/>
    </row>
    <row r="545">
      <c r="K545" s="273"/>
      <c r="N545" s="177"/>
      <c r="O545" s="273"/>
      <c r="P545" s="177"/>
    </row>
    <row r="546">
      <c r="K546" s="273"/>
      <c r="N546" s="177"/>
      <c r="O546" s="273"/>
      <c r="P546" s="177"/>
    </row>
    <row r="547">
      <c r="K547" s="273"/>
      <c r="N547" s="177"/>
      <c r="O547" s="273"/>
      <c r="P547" s="177"/>
    </row>
    <row r="548">
      <c r="K548" s="273"/>
      <c r="N548" s="177"/>
      <c r="O548" s="273"/>
      <c r="P548" s="177"/>
    </row>
    <row r="549">
      <c r="K549" s="273"/>
      <c r="N549" s="177"/>
      <c r="O549" s="273"/>
      <c r="P549" s="177"/>
    </row>
    <row r="550">
      <c r="K550" s="273"/>
      <c r="N550" s="177"/>
      <c r="O550" s="273"/>
      <c r="P550" s="177"/>
    </row>
    <row r="551">
      <c r="K551" s="273"/>
      <c r="N551" s="177"/>
      <c r="O551" s="273"/>
      <c r="P551" s="177"/>
    </row>
    <row r="552">
      <c r="K552" s="273"/>
      <c r="N552" s="177"/>
      <c r="O552" s="273"/>
      <c r="P552" s="177"/>
    </row>
    <row r="553">
      <c r="K553" s="273"/>
      <c r="N553" s="177"/>
      <c r="O553" s="273"/>
      <c r="P553" s="177"/>
    </row>
    <row r="554">
      <c r="K554" s="273"/>
      <c r="N554" s="177"/>
      <c r="O554" s="273"/>
      <c r="P554" s="177"/>
    </row>
    <row r="555">
      <c r="K555" s="273"/>
      <c r="N555" s="177"/>
      <c r="O555" s="273"/>
      <c r="P555" s="177"/>
    </row>
    <row r="556">
      <c r="K556" s="273"/>
      <c r="N556" s="177"/>
      <c r="O556" s="273"/>
      <c r="P556" s="177"/>
    </row>
    <row r="557">
      <c r="K557" s="273"/>
      <c r="N557" s="177"/>
      <c r="O557" s="273"/>
      <c r="P557" s="177"/>
    </row>
    <row r="558">
      <c r="K558" s="273"/>
      <c r="N558" s="177"/>
      <c r="O558" s="273"/>
      <c r="P558" s="177"/>
    </row>
    <row r="559">
      <c r="K559" s="273"/>
      <c r="N559" s="177"/>
      <c r="O559" s="273"/>
      <c r="P559" s="177"/>
    </row>
    <row r="560">
      <c r="K560" s="273"/>
      <c r="N560" s="177"/>
      <c r="O560" s="273"/>
      <c r="P560" s="177"/>
    </row>
    <row r="561">
      <c r="K561" s="273"/>
      <c r="N561" s="177"/>
      <c r="O561" s="273"/>
      <c r="P561" s="177"/>
    </row>
    <row r="562">
      <c r="K562" s="273"/>
      <c r="N562" s="177"/>
      <c r="O562" s="273"/>
      <c r="P562" s="177"/>
    </row>
    <row r="563">
      <c r="K563" s="273"/>
      <c r="N563" s="177"/>
      <c r="O563" s="273"/>
      <c r="P563" s="177"/>
    </row>
    <row r="564">
      <c r="K564" s="273"/>
      <c r="N564" s="177"/>
      <c r="O564" s="273"/>
      <c r="P564" s="177"/>
    </row>
    <row r="565">
      <c r="K565" s="273"/>
      <c r="N565" s="177"/>
      <c r="O565" s="273"/>
      <c r="P565" s="177"/>
    </row>
    <row r="566">
      <c r="K566" s="273"/>
      <c r="N566" s="177"/>
      <c r="O566" s="273"/>
      <c r="P566" s="177"/>
    </row>
    <row r="567">
      <c r="K567" s="273"/>
      <c r="N567" s="177"/>
      <c r="O567" s="273"/>
      <c r="P567" s="177"/>
    </row>
    <row r="568">
      <c r="K568" s="273"/>
      <c r="N568" s="177"/>
      <c r="O568" s="273"/>
      <c r="P568" s="177"/>
    </row>
    <row r="569">
      <c r="K569" s="273"/>
      <c r="N569" s="177"/>
      <c r="O569" s="273"/>
      <c r="P569" s="177"/>
    </row>
    <row r="570">
      <c r="K570" s="273"/>
      <c r="N570" s="177"/>
      <c r="O570" s="273"/>
      <c r="P570" s="177"/>
    </row>
    <row r="571">
      <c r="K571" s="273"/>
      <c r="N571" s="177"/>
      <c r="O571" s="273"/>
      <c r="P571" s="177"/>
    </row>
    <row r="572">
      <c r="K572" s="273"/>
      <c r="N572" s="177"/>
      <c r="O572" s="273"/>
      <c r="P572" s="177"/>
    </row>
    <row r="573">
      <c r="K573" s="273"/>
      <c r="N573" s="177"/>
      <c r="O573" s="273"/>
      <c r="P573" s="177"/>
    </row>
    <row r="574">
      <c r="K574" s="273"/>
      <c r="N574" s="177"/>
      <c r="O574" s="273"/>
      <c r="P574" s="177"/>
    </row>
    <row r="575">
      <c r="K575" s="273"/>
      <c r="N575" s="177"/>
      <c r="O575" s="273"/>
      <c r="P575" s="177"/>
    </row>
    <row r="576">
      <c r="K576" s="273"/>
      <c r="N576" s="177"/>
      <c r="O576" s="273"/>
      <c r="P576" s="177"/>
    </row>
    <row r="577">
      <c r="K577" s="273"/>
      <c r="N577" s="177"/>
      <c r="O577" s="273"/>
      <c r="P577" s="177"/>
    </row>
    <row r="578">
      <c r="K578" s="273"/>
      <c r="N578" s="177"/>
      <c r="O578" s="273"/>
      <c r="P578" s="177"/>
    </row>
    <row r="579">
      <c r="K579" s="273"/>
      <c r="N579" s="177"/>
      <c r="O579" s="273"/>
      <c r="P579" s="177"/>
    </row>
    <row r="580">
      <c r="K580" s="273"/>
      <c r="N580" s="177"/>
      <c r="O580" s="273"/>
      <c r="P580" s="177"/>
    </row>
    <row r="581">
      <c r="K581" s="273"/>
      <c r="N581" s="177"/>
      <c r="O581" s="273"/>
      <c r="P581" s="177"/>
    </row>
    <row r="582">
      <c r="K582" s="273"/>
      <c r="N582" s="177"/>
      <c r="O582" s="273"/>
      <c r="P582" s="177"/>
    </row>
    <row r="583">
      <c r="K583" s="273"/>
      <c r="N583" s="177"/>
      <c r="O583" s="273"/>
      <c r="P583" s="177"/>
    </row>
    <row r="584">
      <c r="K584" s="273"/>
      <c r="N584" s="177"/>
      <c r="O584" s="273"/>
      <c r="P584" s="177"/>
    </row>
    <row r="585">
      <c r="K585" s="273"/>
      <c r="N585" s="177"/>
      <c r="O585" s="273"/>
      <c r="P585" s="177"/>
    </row>
    <row r="586">
      <c r="K586" s="273"/>
      <c r="N586" s="177"/>
      <c r="O586" s="273"/>
      <c r="P586" s="177"/>
    </row>
    <row r="587">
      <c r="K587" s="273"/>
      <c r="N587" s="177"/>
      <c r="O587" s="273"/>
      <c r="P587" s="177"/>
    </row>
    <row r="588">
      <c r="K588" s="273"/>
      <c r="N588" s="177"/>
      <c r="O588" s="273"/>
      <c r="P588" s="177"/>
    </row>
    <row r="589">
      <c r="K589" s="273"/>
      <c r="N589" s="177"/>
      <c r="O589" s="273"/>
      <c r="P589" s="177"/>
    </row>
    <row r="590">
      <c r="K590" s="273"/>
      <c r="N590" s="177"/>
      <c r="O590" s="273"/>
      <c r="P590" s="177"/>
    </row>
    <row r="591">
      <c r="K591" s="273"/>
      <c r="N591" s="177"/>
      <c r="O591" s="273"/>
      <c r="P591" s="177"/>
    </row>
    <row r="592">
      <c r="K592" s="273"/>
      <c r="N592" s="177"/>
      <c r="O592" s="273"/>
      <c r="P592" s="177"/>
    </row>
    <row r="593">
      <c r="K593" s="273"/>
      <c r="N593" s="177"/>
      <c r="O593" s="273"/>
      <c r="P593" s="177"/>
    </row>
    <row r="594">
      <c r="K594" s="273"/>
      <c r="N594" s="177"/>
      <c r="O594" s="273"/>
      <c r="P594" s="177"/>
    </row>
    <row r="595">
      <c r="K595" s="273"/>
      <c r="N595" s="177"/>
      <c r="O595" s="273"/>
      <c r="P595" s="177"/>
    </row>
    <row r="596">
      <c r="K596" s="273"/>
      <c r="N596" s="177"/>
      <c r="O596" s="273"/>
      <c r="P596" s="177"/>
    </row>
    <row r="597">
      <c r="K597" s="273"/>
      <c r="N597" s="177"/>
      <c r="O597" s="273"/>
      <c r="P597" s="177"/>
    </row>
    <row r="598">
      <c r="K598" s="273"/>
      <c r="N598" s="177"/>
      <c r="O598" s="273"/>
      <c r="P598" s="177"/>
    </row>
    <row r="599">
      <c r="K599" s="273"/>
      <c r="N599" s="177"/>
      <c r="O599" s="273"/>
      <c r="P599" s="177"/>
    </row>
    <row r="600">
      <c r="K600" s="273"/>
      <c r="N600" s="177"/>
      <c r="O600" s="273"/>
      <c r="P600" s="177"/>
    </row>
    <row r="601">
      <c r="K601" s="273"/>
      <c r="N601" s="177"/>
      <c r="O601" s="273"/>
      <c r="P601" s="177"/>
    </row>
    <row r="602">
      <c r="K602" s="273"/>
      <c r="N602" s="177"/>
      <c r="O602" s="273"/>
      <c r="P602" s="177"/>
    </row>
    <row r="603">
      <c r="K603" s="273"/>
      <c r="N603" s="177"/>
      <c r="O603" s="273"/>
      <c r="P603" s="177"/>
    </row>
    <row r="604">
      <c r="K604" s="273"/>
      <c r="N604" s="177"/>
      <c r="O604" s="273"/>
      <c r="P604" s="177"/>
    </row>
    <row r="605">
      <c r="K605" s="273"/>
      <c r="N605" s="177"/>
      <c r="O605" s="273"/>
      <c r="P605" s="177"/>
    </row>
    <row r="606">
      <c r="K606" s="273"/>
      <c r="N606" s="177"/>
      <c r="O606" s="273"/>
      <c r="P606" s="177"/>
    </row>
    <row r="607">
      <c r="K607" s="273"/>
      <c r="N607" s="177"/>
      <c r="O607" s="273"/>
      <c r="P607" s="177"/>
    </row>
    <row r="608">
      <c r="K608" s="273"/>
      <c r="N608" s="177"/>
      <c r="O608" s="273"/>
      <c r="P608" s="177"/>
    </row>
    <row r="609">
      <c r="K609" s="273"/>
      <c r="N609" s="177"/>
      <c r="O609" s="273"/>
      <c r="P609" s="177"/>
    </row>
    <row r="610">
      <c r="K610" s="273"/>
      <c r="N610" s="177"/>
      <c r="O610" s="273"/>
      <c r="P610" s="177"/>
    </row>
    <row r="611">
      <c r="K611" s="273"/>
      <c r="N611" s="177"/>
      <c r="O611" s="273"/>
      <c r="P611" s="177"/>
    </row>
    <row r="612">
      <c r="K612" s="273"/>
      <c r="N612" s="177"/>
      <c r="O612" s="273"/>
      <c r="P612" s="177"/>
    </row>
    <row r="613">
      <c r="K613" s="273"/>
      <c r="N613" s="177"/>
      <c r="O613" s="273"/>
      <c r="P613" s="177"/>
    </row>
    <row r="614">
      <c r="K614" s="273"/>
      <c r="N614" s="177"/>
      <c r="O614" s="273"/>
      <c r="P614" s="177"/>
    </row>
    <row r="615">
      <c r="K615" s="273"/>
      <c r="N615" s="177"/>
      <c r="O615" s="273"/>
      <c r="P615" s="177"/>
    </row>
    <row r="616">
      <c r="K616" s="273"/>
      <c r="N616" s="177"/>
      <c r="O616" s="273"/>
      <c r="P616" s="177"/>
    </row>
    <row r="617">
      <c r="K617" s="273"/>
      <c r="N617" s="177"/>
      <c r="O617" s="273"/>
      <c r="P617" s="177"/>
    </row>
    <row r="618">
      <c r="K618" s="273"/>
      <c r="N618" s="177"/>
      <c r="O618" s="273"/>
      <c r="P618" s="177"/>
    </row>
    <row r="619">
      <c r="K619" s="273"/>
      <c r="N619" s="177"/>
      <c r="O619" s="273"/>
      <c r="P619" s="177"/>
    </row>
    <row r="620">
      <c r="K620" s="273"/>
      <c r="N620" s="177"/>
      <c r="O620" s="273"/>
      <c r="P620" s="177"/>
    </row>
    <row r="621">
      <c r="K621" s="273"/>
      <c r="N621" s="177"/>
      <c r="O621" s="273"/>
      <c r="P621" s="177"/>
    </row>
    <row r="622">
      <c r="K622" s="273"/>
      <c r="N622" s="177"/>
      <c r="O622" s="273"/>
      <c r="P622" s="177"/>
    </row>
    <row r="623">
      <c r="K623" s="273"/>
      <c r="N623" s="177"/>
      <c r="O623" s="273"/>
      <c r="P623" s="177"/>
    </row>
    <row r="624">
      <c r="K624" s="273"/>
      <c r="N624" s="177"/>
      <c r="O624" s="273"/>
      <c r="P624" s="177"/>
    </row>
    <row r="625">
      <c r="K625" s="273"/>
      <c r="N625" s="177"/>
      <c r="O625" s="273"/>
      <c r="P625" s="177"/>
    </row>
    <row r="626">
      <c r="K626" s="273"/>
      <c r="N626" s="177"/>
      <c r="O626" s="273"/>
      <c r="P626" s="177"/>
    </row>
    <row r="627">
      <c r="K627" s="273"/>
      <c r="N627" s="177"/>
      <c r="O627" s="273"/>
      <c r="P627" s="177"/>
    </row>
    <row r="628">
      <c r="K628" s="273"/>
      <c r="N628" s="177"/>
      <c r="O628" s="273"/>
      <c r="P628" s="177"/>
    </row>
    <row r="629">
      <c r="K629" s="273"/>
      <c r="N629" s="177"/>
      <c r="O629" s="273"/>
      <c r="P629" s="177"/>
    </row>
    <row r="630">
      <c r="K630" s="273"/>
      <c r="N630" s="177"/>
      <c r="O630" s="273"/>
      <c r="P630" s="177"/>
    </row>
    <row r="631">
      <c r="K631" s="273"/>
      <c r="N631" s="177"/>
      <c r="O631" s="273"/>
      <c r="P631" s="177"/>
    </row>
    <row r="632">
      <c r="K632" s="273"/>
      <c r="N632" s="177"/>
      <c r="O632" s="273"/>
      <c r="P632" s="177"/>
    </row>
    <row r="633">
      <c r="K633" s="273"/>
      <c r="N633" s="177"/>
      <c r="O633" s="273"/>
      <c r="P633" s="177"/>
    </row>
    <row r="634">
      <c r="K634" s="273"/>
      <c r="N634" s="177"/>
      <c r="O634" s="273"/>
      <c r="P634" s="177"/>
    </row>
    <row r="635">
      <c r="K635" s="273"/>
      <c r="N635" s="177"/>
      <c r="O635" s="273"/>
      <c r="P635" s="177"/>
    </row>
    <row r="636">
      <c r="K636" s="273"/>
      <c r="N636" s="177"/>
      <c r="O636" s="273"/>
      <c r="P636" s="177"/>
    </row>
    <row r="637">
      <c r="K637" s="273"/>
      <c r="N637" s="177"/>
      <c r="O637" s="273"/>
      <c r="P637" s="177"/>
    </row>
    <row r="638">
      <c r="K638" s="273"/>
      <c r="N638" s="177"/>
      <c r="O638" s="273"/>
      <c r="P638" s="177"/>
    </row>
    <row r="639">
      <c r="K639" s="273"/>
      <c r="N639" s="177"/>
      <c r="O639" s="273"/>
      <c r="P639" s="177"/>
    </row>
    <row r="640">
      <c r="K640" s="273"/>
      <c r="N640" s="177"/>
      <c r="O640" s="273"/>
      <c r="P640" s="177"/>
    </row>
    <row r="641">
      <c r="K641" s="273"/>
      <c r="N641" s="177"/>
      <c r="O641" s="273"/>
      <c r="P641" s="177"/>
    </row>
    <row r="642">
      <c r="K642" s="273"/>
      <c r="N642" s="177"/>
      <c r="O642" s="273"/>
      <c r="P642" s="177"/>
    </row>
    <row r="643">
      <c r="K643" s="273"/>
      <c r="N643" s="177"/>
      <c r="O643" s="273"/>
      <c r="P643" s="177"/>
    </row>
    <row r="644">
      <c r="K644" s="273"/>
      <c r="N644" s="177"/>
      <c r="O644" s="273"/>
      <c r="P644" s="177"/>
    </row>
    <row r="645">
      <c r="K645" s="273"/>
      <c r="N645" s="177"/>
      <c r="O645" s="273"/>
      <c r="P645" s="177"/>
    </row>
    <row r="646">
      <c r="K646" s="273"/>
      <c r="N646" s="177"/>
      <c r="O646" s="273"/>
      <c r="P646" s="177"/>
    </row>
    <row r="647">
      <c r="K647" s="273"/>
      <c r="N647" s="177"/>
      <c r="O647" s="273"/>
      <c r="P647" s="177"/>
    </row>
    <row r="648">
      <c r="K648" s="273"/>
      <c r="N648" s="177"/>
      <c r="O648" s="273"/>
      <c r="P648" s="177"/>
    </row>
    <row r="649">
      <c r="K649" s="273"/>
      <c r="N649" s="177"/>
      <c r="O649" s="273"/>
      <c r="P649" s="177"/>
    </row>
    <row r="650">
      <c r="K650" s="273"/>
      <c r="N650" s="177"/>
      <c r="O650" s="273"/>
      <c r="P650" s="177"/>
    </row>
    <row r="651">
      <c r="K651" s="273"/>
      <c r="N651" s="177"/>
      <c r="O651" s="273"/>
      <c r="P651" s="177"/>
    </row>
    <row r="652">
      <c r="K652" s="273"/>
      <c r="N652" s="177"/>
      <c r="O652" s="273"/>
      <c r="P652" s="177"/>
    </row>
    <row r="653">
      <c r="K653" s="273"/>
      <c r="N653" s="177"/>
      <c r="O653" s="273"/>
      <c r="P653" s="177"/>
    </row>
    <row r="654">
      <c r="K654" s="273"/>
      <c r="N654" s="177"/>
      <c r="O654" s="273"/>
      <c r="P654" s="177"/>
    </row>
    <row r="655">
      <c r="K655" s="273"/>
      <c r="N655" s="177"/>
      <c r="O655" s="273"/>
      <c r="P655" s="177"/>
    </row>
    <row r="656">
      <c r="K656" s="273"/>
      <c r="N656" s="177"/>
      <c r="O656" s="273"/>
      <c r="P656" s="177"/>
    </row>
    <row r="657">
      <c r="K657" s="273"/>
      <c r="N657" s="177"/>
      <c r="O657" s="273"/>
      <c r="P657" s="177"/>
    </row>
    <row r="658">
      <c r="K658" s="273"/>
      <c r="N658" s="177"/>
      <c r="O658" s="273"/>
      <c r="P658" s="177"/>
    </row>
    <row r="659">
      <c r="K659" s="273"/>
      <c r="N659" s="177"/>
      <c r="O659" s="273"/>
      <c r="P659" s="177"/>
    </row>
    <row r="660">
      <c r="K660" s="273"/>
      <c r="N660" s="177"/>
      <c r="O660" s="273"/>
      <c r="P660" s="177"/>
    </row>
    <row r="661">
      <c r="K661" s="273"/>
      <c r="N661" s="177"/>
      <c r="O661" s="273"/>
      <c r="P661" s="177"/>
    </row>
    <row r="662">
      <c r="K662" s="273"/>
      <c r="N662" s="177"/>
      <c r="O662" s="273"/>
      <c r="P662" s="177"/>
    </row>
    <row r="663">
      <c r="K663" s="273"/>
      <c r="N663" s="177"/>
      <c r="O663" s="273"/>
      <c r="P663" s="177"/>
    </row>
    <row r="664">
      <c r="K664" s="273"/>
      <c r="N664" s="177"/>
      <c r="O664" s="273"/>
      <c r="P664" s="177"/>
    </row>
    <row r="665">
      <c r="K665" s="273"/>
      <c r="N665" s="177"/>
      <c r="O665" s="273"/>
      <c r="P665" s="177"/>
    </row>
    <row r="666">
      <c r="K666" s="273"/>
      <c r="N666" s="177"/>
      <c r="O666" s="273"/>
      <c r="P666" s="177"/>
    </row>
    <row r="667">
      <c r="K667" s="273"/>
      <c r="N667" s="177"/>
      <c r="O667" s="273"/>
      <c r="P667" s="177"/>
    </row>
    <row r="668">
      <c r="K668" s="273"/>
      <c r="N668" s="177"/>
      <c r="O668" s="273"/>
      <c r="P668" s="177"/>
    </row>
    <row r="669">
      <c r="K669" s="273"/>
      <c r="N669" s="177"/>
      <c r="O669" s="273"/>
      <c r="P669" s="177"/>
    </row>
    <row r="670">
      <c r="K670" s="273"/>
      <c r="N670" s="177"/>
      <c r="O670" s="273"/>
      <c r="P670" s="177"/>
    </row>
    <row r="671">
      <c r="K671" s="273"/>
      <c r="N671" s="177"/>
      <c r="O671" s="273"/>
      <c r="P671" s="177"/>
    </row>
    <row r="672">
      <c r="K672" s="273"/>
      <c r="N672" s="177"/>
      <c r="O672" s="273"/>
      <c r="P672" s="177"/>
    </row>
    <row r="673">
      <c r="K673" s="273"/>
      <c r="N673" s="177"/>
      <c r="O673" s="273"/>
      <c r="P673" s="177"/>
    </row>
    <row r="674">
      <c r="K674" s="273"/>
      <c r="N674" s="177"/>
      <c r="O674" s="273"/>
      <c r="P674" s="177"/>
    </row>
    <row r="675">
      <c r="K675" s="273"/>
      <c r="N675" s="177"/>
      <c r="O675" s="273"/>
      <c r="P675" s="177"/>
    </row>
    <row r="676">
      <c r="K676" s="273"/>
      <c r="N676" s="177"/>
      <c r="O676" s="273"/>
      <c r="P676" s="177"/>
    </row>
    <row r="677">
      <c r="K677" s="273"/>
      <c r="N677" s="177"/>
      <c r="O677" s="273"/>
      <c r="P677" s="177"/>
    </row>
    <row r="678">
      <c r="K678" s="273"/>
      <c r="N678" s="177"/>
      <c r="O678" s="273"/>
      <c r="P678" s="177"/>
    </row>
    <row r="679">
      <c r="K679" s="273"/>
      <c r="N679" s="177"/>
      <c r="O679" s="273"/>
      <c r="P679" s="177"/>
    </row>
    <row r="680">
      <c r="K680" s="273"/>
      <c r="N680" s="177"/>
      <c r="O680" s="273"/>
      <c r="P680" s="177"/>
    </row>
    <row r="681">
      <c r="K681" s="273"/>
      <c r="N681" s="177"/>
      <c r="O681" s="273"/>
      <c r="P681" s="177"/>
    </row>
    <row r="682">
      <c r="K682" s="273"/>
      <c r="N682" s="177"/>
      <c r="O682" s="273"/>
      <c r="P682" s="177"/>
    </row>
    <row r="683">
      <c r="K683" s="273"/>
      <c r="N683" s="177"/>
      <c r="O683" s="273"/>
      <c r="P683" s="177"/>
    </row>
    <row r="684">
      <c r="K684" s="273"/>
      <c r="N684" s="177"/>
      <c r="O684" s="273"/>
      <c r="P684" s="177"/>
    </row>
    <row r="685">
      <c r="K685" s="273"/>
      <c r="N685" s="177"/>
      <c r="O685" s="273"/>
      <c r="P685" s="177"/>
    </row>
    <row r="686">
      <c r="K686" s="273"/>
      <c r="N686" s="177"/>
      <c r="O686" s="273"/>
      <c r="P686" s="177"/>
    </row>
    <row r="687">
      <c r="K687" s="273"/>
      <c r="N687" s="177"/>
      <c r="O687" s="273"/>
      <c r="P687" s="177"/>
    </row>
    <row r="688">
      <c r="K688" s="273"/>
      <c r="N688" s="177"/>
      <c r="O688" s="273"/>
      <c r="P688" s="177"/>
    </row>
    <row r="689">
      <c r="K689" s="273"/>
      <c r="N689" s="177"/>
      <c r="O689" s="273"/>
      <c r="P689" s="177"/>
    </row>
    <row r="690">
      <c r="K690" s="273"/>
      <c r="N690" s="177"/>
      <c r="O690" s="273"/>
      <c r="P690" s="177"/>
    </row>
    <row r="691">
      <c r="K691" s="273"/>
      <c r="N691" s="177"/>
      <c r="O691" s="273"/>
      <c r="P691" s="177"/>
    </row>
    <row r="692">
      <c r="K692" s="273"/>
      <c r="N692" s="177"/>
      <c r="O692" s="273"/>
      <c r="P692" s="177"/>
    </row>
    <row r="693">
      <c r="K693" s="273"/>
      <c r="N693" s="177"/>
      <c r="O693" s="273"/>
      <c r="P693" s="177"/>
    </row>
    <row r="694">
      <c r="K694" s="273"/>
      <c r="N694" s="177"/>
      <c r="O694" s="273"/>
      <c r="P694" s="177"/>
    </row>
    <row r="695">
      <c r="K695" s="273"/>
      <c r="N695" s="177"/>
      <c r="O695" s="273"/>
      <c r="P695" s="177"/>
    </row>
    <row r="696">
      <c r="K696" s="273"/>
      <c r="N696" s="177"/>
      <c r="O696" s="273"/>
      <c r="P696" s="177"/>
    </row>
    <row r="697">
      <c r="K697" s="273"/>
      <c r="N697" s="177"/>
      <c r="O697" s="273"/>
      <c r="P697" s="177"/>
    </row>
    <row r="698">
      <c r="K698" s="273"/>
      <c r="N698" s="177"/>
      <c r="O698" s="273"/>
      <c r="P698" s="177"/>
    </row>
    <row r="699">
      <c r="K699" s="273"/>
      <c r="N699" s="177"/>
      <c r="O699" s="273"/>
      <c r="P699" s="177"/>
    </row>
    <row r="700">
      <c r="K700" s="273"/>
      <c r="N700" s="177"/>
      <c r="O700" s="273"/>
      <c r="P700" s="177"/>
    </row>
    <row r="701">
      <c r="K701" s="273"/>
      <c r="N701" s="177"/>
      <c r="O701" s="273"/>
      <c r="P701" s="177"/>
    </row>
    <row r="702">
      <c r="K702" s="273"/>
      <c r="N702" s="177"/>
      <c r="O702" s="273"/>
      <c r="P702" s="177"/>
    </row>
    <row r="703">
      <c r="K703" s="273"/>
      <c r="N703" s="177"/>
      <c r="O703" s="273"/>
      <c r="P703" s="177"/>
    </row>
    <row r="704">
      <c r="K704" s="273"/>
      <c r="N704" s="177"/>
      <c r="O704" s="273"/>
      <c r="P704" s="177"/>
    </row>
    <row r="705">
      <c r="K705" s="273"/>
      <c r="N705" s="177"/>
      <c r="O705" s="273"/>
      <c r="P705" s="177"/>
    </row>
    <row r="706">
      <c r="K706" s="273"/>
      <c r="N706" s="177"/>
      <c r="O706" s="273"/>
      <c r="P706" s="177"/>
    </row>
    <row r="707">
      <c r="K707" s="273"/>
      <c r="N707" s="177"/>
      <c r="O707" s="273"/>
      <c r="P707" s="177"/>
    </row>
    <row r="708">
      <c r="K708" s="273"/>
      <c r="N708" s="177"/>
      <c r="O708" s="273"/>
      <c r="P708" s="177"/>
    </row>
    <row r="709">
      <c r="K709" s="273"/>
      <c r="N709" s="177"/>
      <c r="O709" s="273"/>
      <c r="P709" s="177"/>
    </row>
    <row r="710">
      <c r="K710" s="273"/>
      <c r="N710" s="177"/>
      <c r="O710" s="273"/>
      <c r="P710" s="177"/>
    </row>
    <row r="711">
      <c r="K711" s="273"/>
      <c r="N711" s="177"/>
      <c r="O711" s="273"/>
      <c r="P711" s="177"/>
    </row>
    <row r="712">
      <c r="K712" s="273"/>
      <c r="N712" s="177"/>
      <c r="O712" s="273"/>
      <c r="P712" s="177"/>
    </row>
    <row r="713">
      <c r="K713" s="273"/>
      <c r="N713" s="177"/>
      <c r="O713" s="273"/>
      <c r="P713" s="177"/>
    </row>
    <row r="714">
      <c r="K714" s="273"/>
      <c r="N714" s="177"/>
      <c r="O714" s="273"/>
      <c r="P714" s="177"/>
    </row>
    <row r="715">
      <c r="K715" s="273"/>
      <c r="N715" s="177"/>
      <c r="O715" s="273"/>
      <c r="P715" s="177"/>
    </row>
    <row r="716">
      <c r="K716" s="273"/>
      <c r="N716" s="177"/>
      <c r="O716" s="273"/>
      <c r="P716" s="177"/>
    </row>
    <row r="717">
      <c r="K717" s="273"/>
      <c r="N717" s="177"/>
      <c r="O717" s="273"/>
      <c r="P717" s="177"/>
    </row>
    <row r="718">
      <c r="K718" s="273"/>
      <c r="N718" s="177"/>
      <c r="O718" s="273"/>
      <c r="P718" s="177"/>
    </row>
    <row r="719">
      <c r="K719" s="273"/>
      <c r="N719" s="177"/>
      <c r="O719" s="273"/>
      <c r="P719" s="177"/>
    </row>
    <row r="720">
      <c r="K720" s="273"/>
      <c r="N720" s="177"/>
      <c r="O720" s="273"/>
      <c r="P720" s="177"/>
    </row>
    <row r="721">
      <c r="K721" s="273"/>
      <c r="N721" s="177"/>
      <c r="O721" s="273"/>
      <c r="P721" s="177"/>
    </row>
    <row r="722">
      <c r="K722" s="273"/>
      <c r="N722" s="177"/>
      <c r="O722" s="273"/>
      <c r="P722" s="177"/>
    </row>
    <row r="723">
      <c r="K723" s="273"/>
      <c r="N723" s="177"/>
      <c r="O723" s="273"/>
      <c r="P723" s="177"/>
    </row>
    <row r="724">
      <c r="K724" s="273"/>
      <c r="N724" s="177"/>
      <c r="O724" s="273"/>
      <c r="P724" s="177"/>
    </row>
    <row r="725">
      <c r="K725" s="273"/>
      <c r="N725" s="177"/>
      <c r="O725" s="273"/>
      <c r="P725" s="177"/>
    </row>
    <row r="726">
      <c r="K726" s="273"/>
      <c r="N726" s="177"/>
      <c r="O726" s="273"/>
      <c r="P726" s="177"/>
    </row>
    <row r="727">
      <c r="K727" s="273"/>
      <c r="N727" s="177"/>
      <c r="O727" s="273"/>
      <c r="P727" s="177"/>
    </row>
    <row r="728">
      <c r="K728" s="273"/>
      <c r="N728" s="177"/>
      <c r="O728" s="273"/>
      <c r="P728" s="177"/>
    </row>
    <row r="729">
      <c r="K729" s="273"/>
      <c r="N729" s="177"/>
      <c r="O729" s="273"/>
      <c r="P729" s="177"/>
    </row>
    <row r="730">
      <c r="K730" s="273"/>
      <c r="N730" s="177"/>
      <c r="O730" s="273"/>
      <c r="P730" s="177"/>
    </row>
    <row r="731">
      <c r="K731" s="273"/>
      <c r="N731" s="177"/>
      <c r="O731" s="273"/>
      <c r="P731" s="177"/>
    </row>
    <row r="732">
      <c r="K732" s="273"/>
      <c r="N732" s="177"/>
      <c r="O732" s="273"/>
      <c r="P732" s="177"/>
    </row>
    <row r="733">
      <c r="K733" s="273"/>
      <c r="N733" s="177"/>
      <c r="O733" s="273"/>
      <c r="P733" s="177"/>
    </row>
    <row r="734">
      <c r="K734" s="273"/>
      <c r="N734" s="177"/>
      <c r="O734" s="273"/>
      <c r="P734" s="177"/>
    </row>
    <row r="735">
      <c r="K735" s="273"/>
      <c r="N735" s="177"/>
      <c r="O735" s="273"/>
      <c r="P735" s="177"/>
    </row>
    <row r="736">
      <c r="K736" s="273"/>
      <c r="N736" s="177"/>
      <c r="O736" s="273"/>
      <c r="P736" s="177"/>
    </row>
    <row r="737">
      <c r="K737" s="273"/>
      <c r="N737" s="177"/>
      <c r="O737" s="273"/>
      <c r="P737" s="177"/>
    </row>
    <row r="738">
      <c r="K738" s="273"/>
      <c r="N738" s="177"/>
      <c r="O738" s="273"/>
      <c r="P738" s="177"/>
    </row>
    <row r="739">
      <c r="K739" s="273"/>
      <c r="N739" s="177"/>
      <c r="O739" s="273"/>
      <c r="P739" s="177"/>
    </row>
    <row r="740">
      <c r="K740" s="273"/>
      <c r="N740" s="177"/>
      <c r="O740" s="273"/>
      <c r="P740" s="177"/>
    </row>
    <row r="741">
      <c r="K741" s="273"/>
      <c r="N741" s="177"/>
      <c r="O741" s="273"/>
      <c r="P741" s="177"/>
    </row>
    <row r="742">
      <c r="K742" s="273"/>
      <c r="N742" s="177"/>
      <c r="O742" s="273"/>
      <c r="P742" s="177"/>
    </row>
    <row r="743">
      <c r="K743" s="273"/>
      <c r="N743" s="177"/>
      <c r="O743" s="273"/>
      <c r="P743" s="177"/>
    </row>
    <row r="744">
      <c r="K744" s="273"/>
      <c r="N744" s="177"/>
      <c r="O744" s="273"/>
      <c r="P744" s="177"/>
    </row>
    <row r="745">
      <c r="K745" s="273"/>
      <c r="N745" s="177"/>
      <c r="O745" s="273"/>
      <c r="P745" s="177"/>
    </row>
    <row r="746">
      <c r="K746" s="273"/>
      <c r="N746" s="177"/>
      <c r="O746" s="273"/>
      <c r="P746" s="177"/>
    </row>
    <row r="747">
      <c r="K747" s="273"/>
      <c r="N747" s="177"/>
      <c r="O747" s="273"/>
      <c r="P747" s="177"/>
    </row>
    <row r="748">
      <c r="K748" s="273"/>
      <c r="N748" s="177"/>
      <c r="O748" s="273"/>
      <c r="P748" s="177"/>
    </row>
    <row r="749">
      <c r="K749" s="273"/>
      <c r="N749" s="177"/>
      <c r="O749" s="273"/>
      <c r="P749" s="177"/>
    </row>
    <row r="750">
      <c r="K750" s="273"/>
      <c r="N750" s="177"/>
      <c r="O750" s="273"/>
      <c r="P750" s="177"/>
    </row>
    <row r="751">
      <c r="K751" s="273"/>
      <c r="N751" s="177"/>
      <c r="O751" s="273"/>
      <c r="P751" s="177"/>
    </row>
    <row r="752">
      <c r="K752" s="273"/>
      <c r="N752" s="177"/>
      <c r="O752" s="273"/>
      <c r="P752" s="177"/>
    </row>
    <row r="753">
      <c r="K753" s="273"/>
      <c r="N753" s="177"/>
      <c r="O753" s="273"/>
      <c r="P753" s="177"/>
    </row>
    <row r="754">
      <c r="K754" s="273"/>
      <c r="N754" s="177"/>
      <c r="O754" s="273"/>
      <c r="P754" s="177"/>
    </row>
    <row r="755">
      <c r="K755" s="273"/>
      <c r="N755" s="177"/>
      <c r="O755" s="273"/>
      <c r="P755" s="177"/>
    </row>
    <row r="756">
      <c r="K756" s="273"/>
      <c r="N756" s="177"/>
      <c r="O756" s="273"/>
      <c r="P756" s="177"/>
    </row>
    <row r="757">
      <c r="K757" s="273"/>
      <c r="N757" s="177"/>
      <c r="O757" s="273"/>
      <c r="P757" s="177"/>
    </row>
    <row r="758">
      <c r="K758" s="273"/>
      <c r="N758" s="177"/>
      <c r="O758" s="273"/>
      <c r="P758" s="177"/>
    </row>
    <row r="759">
      <c r="K759" s="273"/>
      <c r="N759" s="177"/>
      <c r="O759" s="273"/>
      <c r="P759" s="177"/>
    </row>
    <row r="760">
      <c r="K760" s="273"/>
      <c r="N760" s="177"/>
      <c r="O760" s="273"/>
      <c r="P760" s="177"/>
    </row>
    <row r="761">
      <c r="K761" s="273"/>
      <c r="N761" s="177"/>
      <c r="O761" s="273"/>
      <c r="P761" s="177"/>
    </row>
    <row r="762">
      <c r="K762" s="273"/>
      <c r="N762" s="177"/>
      <c r="O762" s="273"/>
      <c r="P762" s="177"/>
    </row>
    <row r="763">
      <c r="K763" s="273"/>
      <c r="N763" s="177"/>
      <c r="O763" s="273"/>
      <c r="P763" s="177"/>
    </row>
    <row r="764">
      <c r="K764" s="273"/>
      <c r="N764" s="177"/>
      <c r="O764" s="273"/>
      <c r="P764" s="177"/>
    </row>
    <row r="765">
      <c r="K765" s="273"/>
      <c r="N765" s="177"/>
      <c r="O765" s="273"/>
      <c r="P765" s="177"/>
    </row>
    <row r="766">
      <c r="K766" s="273"/>
      <c r="N766" s="177"/>
      <c r="O766" s="273"/>
      <c r="P766" s="177"/>
    </row>
    <row r="767">
      <c r="K767" s="273"/>
      <c r="N767" s="177"/>
      <c r="O767" s="273"/>
      <c r="P767" s="177"/>
    </row>
    <row r="768">
      <c r="K768" s="273"/>
      <c r="N768" s="177"/>
      <c r="O768" s="273"/>
      <c r="P768" s="177"/>
    </row>
    <row r="769">
      <c r="K769" s="273"/>
      <c r="N769" s="177"/>
      <c r="O769" s="273"/>
      <c r="P769" s="177"/>
    </row>
    <row r="770">
      <c r="K770" s="273"/>
      <c r="N770" s="177"/>
      <c r="O770" s="273"/>
      <c r="P770" s="177"/>
    </row>
    <row r="771">
      <c r="K771" s="273"/>
      <c r="N771" s="177"/>
      <c r="O771" s="273"/>
      <c r="P771" s="177"/>
    </row>
    <row r="772">
      <c r="K772" s="273"/>
      <c r="N772" s="177"/>
      <c r="O772" s="273"/>
      <c r="P772" s="177"/>
    </row>
    <row r="773">
      <c r="K773" s="273"/>
      <c r="N773" s="177"/>
      <c r="O773" s="273"/>
      <c r="P773" s="177"/>
    </row>
    <row r="774">
      <c r="K774" s="273"/>
      <c r="N774" s="177"/>
      <c r="O774" s="273"/>
      <c r="P774" s="177"/>
    </row>
    <row r="775">
      <c r="K775" s="273"/>
      <c r="N775" s="177"/>
      <c r="O775" s="273"/>
      <c r="P775" s="177"/>
    </row>
    <row r="776">
      <c r="K776" s="273"/>
      <c r="N776" s="177"/>
      <c r="O776" s="273"/>
      <c r="P776" s="177"/>
    </row>
    <row r="777">
      <c r="K777" s="273"/>
      <c r="N777" s="177"/>
      <c r="O777" s="273"/>
      <c r="P777" s="177"/>
    </row>
    <row r="778">
      <c r="K778" s="273"/>
      <c r="N778" s="177"/>
      <c r="O778" s="273"/>
      <c r="P778" s="177"/>
    </row>
    <row r="779">
      <c r="K779" s="273"/>
      <c r="N779" s="177"/>
      <c r="O779" s="273"/>
      <c r="P779" s="177"/>
    </row>
    <row r="780">
      <c r="K780" s="273"/>
      <c r="N780" s="177"/>
      <c r="O780" s="273"/>
      <c r="P780" s="177"/>
    </row>
    <row r="781">
      <c r="K781" s="273"/>
      <c r="N781" s="177"/>
      <c r="O781" s="273"/>
      <c r="P781" s="177"/>
    </row>
    <row r="782">
      <c r="K782" s="273"/>
      <c r="N782" s="177"/>
      <c r="O782" s="273"/>
      <c r="P782" s="177"/>
    </row>
    <row r="783">
      <c r="K783" s="273"/>
      <c r="N783" s="177"/>
      <c r="O783" s="273"/>
      <c r="P783" s="177"/>
    </row>
    <row r="784">
      <c r="K784" s="273"/>
      <c r="N784" s="177"/>
      <c r="O784" s="273"/>
      <c r="P784" s="177"/>
    </row>
    <row r="785">
      <c r="K785" s="273"/>
      <c r="N785" s="177"/>
      <c r="O785" s="273"/>
      <c r="P785" s="177"/>
    </row>
    <row r="786">
      <c r="K786" s="273"/>
      <c r="N786" s="177"/>
      <c r="O786" s="273"/>
      <c r="P786" s="177"/>
    </row>
    <row r="787">
      <c r="K787" s="273"/>
      <c r="N787" s="177"/>
      <c r="O787" s="273"/>
      <c r="P787" s="177"/>
    </row>
    <row r="788">
      <c r="K788" s="273"/>
      <c r="N788" s="177"/>
      <c r="O788" s="273"/>
      <c r="P788" s="177"/>
    </row>
    <row r="789">
      <c r="K789" s="273"/>
      <c r="N789" s="177"/>
      <c r="O789" s="273"/>
      <c r="P789" s="177"/>
    </row>
    <row r="790">
      <c r="K790" s="273"/>
      <c r="N790" s="177"/>
      <c r="O790" s="273"/>
      <c r="P790" s="177"/>
    </row>
    <row r="791">
      <c r="K791" s="273"/>
      <c r="N791" s="177"/>
      <c r="O791" s="273"/>
      <c r="P791" s="177"/>
    </row>
    <row r="792">
      <c r="K792" s="273"/>
      <c r="N792" s="177"/>
      <c r="O792" s="273"/>
      <c r="P792" s="177"/>
    </row>
    <row r="793">
      <c r="K793" s="273"/>
      <c r="N793" s="177"/>
      <c r="O793" s="273"/>
      <c r="P793" s="177"/>
    </row>
    <row r="794">
      <c r="K794" s="273"/>
      <c r="N794" s="177"/>
      <c r="O794" s="273"/>
      <c r="P794" s="177"/>
    </row>
    <row r="795">
      <c r="K795" s="273"/>
      <c r="N795" s="177"/>
      <c r="O795" s="273"/>
      <c r="P795" s="177"/>
    </row>
    <row r="796">
      <c r="K796" s="273"/>
      <c r="N796" s="177"/>
      <c r="O796" s="273"/>
      <c r="P796" s="177"/>
    </row>
    <row r="797">
      <c r="K797" s="273"/>
      <c r="N797" s="177"/>
      <c r="O797" s="273"/>
      <c r="P797" s="177"/>
    </row>
    <row r="798">
      <c r="K798" s="273"/>
      <c r="N798" s="177"/>
      <c r="O798" s="273"/>
      <c r="P798" s="177"/>
    </row>
    <row r="799">
      <c r="K799" s="273"/>
      <c r="N799" s="177"/>
      <c r="O799" s="273"/>
      <c r="P799" s="177"/>
    </row>
    <row r="800">
      <c r="K800" s="273"/>
      <c r="N800" s="177"/>
      <c r="O800" s="273"/>
      <c r="P800" s="177"/>
    </row>
    <row r="801">
      <c r="K801" s="273"/>
      <c r="N801" s="177"/>
      <c r="O801" s="273"/>
      <c r="P801" s="177"/>
    </row>
    <row r="802">
      <c r="K802" s="273"/>
      <c r="N802" s="177"/>
      <c r="O802" s="273"/>
      <c r="P802" s="177"/>
    </row>
    <row r="803">
      <c r="K803" s="273"/>
      <c r="N803" s="177"/>
      <c r="O803" s="273"/>
      <c r="P803" s="177"/>
    </row>
    <row r="804">
      <c r="K804" s="273"/>
      <c r="N804" s="177"/>
      <c r="O804" s="273"/>
      <c r="P804" s="177"/>
    </row>
    <row r="805">
      <c r="K805" s="273"/>
      <c r="N805" s="177"/>
      <c r="O805" s="273"/>
      <c r="P805" s="177"/>
    </row>
    <row r="806">
      <c r="K806" s="273"/>
      <c r="N806" s="177"/>
      <c r="O806" s="273"/>
      <c r="P806" s="177"/>
    </row>
    <row r="807">
      <c r="K807" s="273"/>
      <c r="N807" s="177"/>
      <c r="O807" s="273"/>
      <c r="P807" s="177"/>
    </row>
    <row r="808">
      <c r="K808" s="273"/>
      <c r="N808" s="177"/>
      <c r="O808" s="273"/>
      <c r="P808" s="177"/>
    </row>
    <row r="809">
      <c r="K809" s="273"/>
      <c r="N809" s="177"/>
      <c r="O809" s="273"/>
      <c r="P809" s="177"/>
    </row>
    <row r="810">
      <c r="K810" s="273"/>
      <c r="N810" s="177"/>
      <c r="O810" s="273"/>
      <c r="P810" s="177"/>
    </row>
    <row r="811">
      <c r="K811" s="273"/>
      <c r="N811" s="177"/>
      <c r="O811" s="273"/>
      <c r="P811" s="177"/>
    </row>
    <row r="812">
      <c r="K812" s="273"/>
      <c r="N812" s="177"/>
      <c r="O812" s="273"/>
      <c r="P812" s="177"/>
    </row>
    <row r="813">
      <c r="K813" s="273"/>
      <c r="N813" s="177"/>
      <c r="O813" s="273"/>
      <c r="P813" s="177"/>
    </row>
    <row r="814">
      <c r="K814" s="273"/>
      <c r="N814" s="177"/>
      <c r="O814" s="273"/>
      <c r="P814" s="177"/>
    </row>
    <row r="815">
      <c r="K815" s="273"/>
      <c r="N815" s="177"/>
      <c r="O815" s="273"/>
      <c r="P815" s="177"/>
    </row>
    <row r="816">
      <c r="K816" s="273"/>
      <c r="N816" s="177"/>
      <c r="O816" s="273"/>
      <c r="P816" s="177"/>
    </row>
    <row r="817">
      <c r="K817" s="273"/>
      <c r="N817" s="177"/>
      <c r="O817" s="273"/>
      <c r="P817" s="177"/>
    </row>
    <row r="818">
      <c r="K818" s="273"/>
      <c r="N818" s="177"/>
      <c r="O818" s="273"/>
      <c r="P818" s="177"/>
    </row>
    <row r="819">
      <c r="K819" s="273"/>
      <c r="N819" s="177"/>
      <c r="O819" s="273"/>
      <c r="P819" s="177"/>
    </row>
    <row r="820">
      <c r="K820" s="273"/>
      <c r="N820" s="177"/>
      <c r="O820" s="273"/>
      <c r="P820" s="177"/>
    </row>
    <row r="821">
      <c r="K821" s="273"/>
      <c r="N821" s="177"/>
      <c r="O821" s="273"/>
      <c r="P821" s="177"/>
    </row>
    <row r="822">
      <c r="K822" s="273"/>
      <c r="N822" s="177"/>
      <c r="O822" s="273"/>
      <c r="P822" s="177"/>
    </row>
    <row r="823">
      <c r="K823" s="273"/>
      <c r="N823" s="177"/>
      <c r="O823" s="273"/>
      <c r="P823" s="177"/>
    </row>
    <row r="824">
      <c r="K824" s="273"/>
      <c r="N824" s="177"/>
      <c r="O824" s="273"/>
      <c r="P824" s="177"/>
    </row>
    <row r="825">
      <c r="K825" s="273"/>
      <c r="N825" s="177"/>
      <c r="O825" s="273"/>
      <c r="P825" s="177"/>
    </row>
    <row r="826">
      <c r="K826" s="273"/>
      <c r="N826" s="177"/>
      <c r="O826" s="273"/>
      <c r="P826" s="177"/>
    </row>
    <row r="827">
      <c r="K827" s="273"/>
      <c r="N827" s="177"/>
      <c r="O827" s="273"/>
      <c r="P827" s="177"/>
    </row>
    <row r="828">
      <c r="K828" s="273"/>
      <c r="N828" s="177"/>
      <c r="O828" s="273"/>
      <c r="P828" s="177"/>
    </row>
    <row r="829">
      <c r="K829" s="273"/>
      <c r="N829" s="177"/>
      <c r="O829" s="273"/>
      <c r="P829" s="177"/>
    </row>
    <row r="830">
      <c r="K830" s="273"/>
      <c r="N830" s="177"/>
      <c r="O830" s="273"/>
      <c r="P830" s="177"/>
    </row>
    <row r="831">
      <c r="K831" s="273"/>
      <c r="N831" s="177"/>
      <c r="O831" s="273"/>
      <c r="P831" s="177"/>
    </row>
    <row r="832">
      <c r="K832" s="273"/>
      <c r="N832" s="177"/>
      <c r="O832" s="273"/>
      <c r="P832" s="177"/>
    </row>
    <row r="833">
      <c r="K833" s="273"/>
      <c r="N833" s="177"/>
      <c r="O833" s="273"/>
      <c r="P833" s="177"/>
    </row>
    <row r="834">
      <c r="K834" s="273"/>
      <c r="N834" s="177"/>
      <c r="O834" s="273"/>
      <c r="P834" s="177"/>
    </row>
    <row r="835">
      <c r="K835" s="273"/>
      <c r="N835" s="177"/>
      <c r="O835" s="273"/>
      <c r="P835" s="177"/>
    </row>
    <row r="836">
      <c r="K836" s="273"/>
      <c r="N836" s="177"/>
      <c r="O836" s="273"/>
      <c r="P836" s="177"/>
    </row>
    <row r="837">
      <c r="K837" s="273"/>
      <c r="N837" s="177"/>
      <c r="O837" s="273"/>
      <c r="P837" s="177"/>
    </row>
    <row r="838">
      <c r="K838" s="273"/>
      <c r="N838" s="177"/>
      <c r="O838" s="273"/>
      <c r="P838" s="177"/>
    </row>
    <row r="839">
      <c r="K839" s="273"/>
      <c r="N839" s="177"/>
      <c r="O839" s="273"/>
      <c r="P839" s="177"/>
    </row>
    <row r="840">
      <c r="K840" s="273"/>
      <c r="N840" s="177"/>
      <c r="O840" s="273"/>
      <c r="P840" s="177"/>
    </row>
    <row r="841">
      <c r="K841" s="273"/>
      <c r="N841" s="177"/>
      <c r="O841" s="273"/>
      <c r="P841" s="177"/>
    </row>
    <row r="842">
      <c r="K842" s="273"/>
      <c r="N842" s="177"/>
      <c r="O842" s="273"/>
      <c r="P842" s="177"/>
    </row>
    <row r="843">
      <c r="K843" s="273"/>
      <c r="N843" s="177"/>
      <c r="O843" s="273"/>
      <c r="P843" s="177"/>
    </row>
    <row r="844">
      <c r="K844" s="273"/>
      <c r="N844" s="177"/>
      <c r="O844" s="273"/>
      <c r="P844" s="177"/>
    </row>
    <row r="845">
      <c r="K845" s="273"/>
      <c r="N845" s="177"/>
      <c r="O845" s="273"/>
      <c r="P845" s="177"/>
    </row>
    <row r="846">
      <c r="K846" s="273"/>
      <c r="N846" s="177"/>
      <c r="O846" s="273"/>
      <c r="P846" s="177"/>
    </row>
    <row r="847">
      <c r="K847" s="273"/>
      <c r="N847" s="177"/>
      <c r="O847" s="273"/>
      <c r="P847" s="177"/>
    </row>
    <row r="848">
      <c r="K848" s="273"/>
      <c r="N848" s="177"/>
      <c r="O848" s="273"/>
      <c r="P848" s="177"/>
    </row>
    <row r="849">
      <c r="K849" s="273"/>
      <c r="N849" s="177"/>
      <c r="O849" s="273"/>
      <c r="P849" s="177"/>
    </row>
    <row r="850">
      <c r="K850" s="273"/>
      <c r="N850" s="177"/>
      <c r="O850" s="273"/>
      <c r="P850" s="177"/>
    </row>
    <row r="851">
      <c r="K851" s="273"/>
      <c r="N851" s="177"/>
      <c r="O851" s="273"/>
      <c r="P851" s="177"/>
    </row>
    <row r="852">
      <c r="K852" s="273"/>
      <c r="N852" s="177"/>
      <c r="O852" s="273"/>
      <c r="P852" s="177"/>
    </row>
    <row r="853">
      <c r="K853" s="273"/>
      <c r="N853" s="177"/>
      <c r="O853" s="273"/>
      <c r="P853" s="177"/>
    </row>
    <row r="854">
      <c r="K854" s="273"/>
      <c r="N854" s="177"/>
      <c r="O854" s="273"/>
      <c r="P854" s="177"/>
    </row>
    <row r="855">
      <c r="K855" s="273"/>
      <c r="N855" s="177"/>
      <c r="O855" s="273"/>
      <c r="P855" s="177"/>
    </row>
    <row r="856">
      <c r="K856" s="273"/>
      <c r="N856" s="177"/>
      <c r="O856" s="273"/>
      <c r="P856" s="177"/>
    </row>
    <row r="857">
      <c r="K857" s="273"/>
      <c r="N857" s="177"/>
      <c r="O857" s="273"/>
      <c r="P857" s="177"/>
    </row>
    <row r="858">
      <c r="K858" s="273"/>
      <c r="N858" s="177"/>
      <c r="O858" s="273"/>
      <c r="P858" s="177"/>
    </row>
    <row r="859">
      <c r="K859" s="273"/>
      <c r="N859" s="177"/>
      <c r="O859" s="273"/>
      <c r="P859" s="177"/>
    </row>
    <row r="860">
      <c r="K860" s="273"/>
      <c r="N860" s="177"/>
      <c r="O860" s="273"/>
      <c r="P860" s="177"/>
    </row>
    <row r="861">
      <c r="K861" s="273"/>
      <c r="N861" s="177"/>
      <c r="O861" s="273"/>
      <c r="P861" s="177"/>
    </row>
    <row r="862">
      <c r="K862" s="273"/>
      <c r="N862" s="177"/>
      <c r="O862" s="273"/>
      <c r="P862" s="177"/>
    </row>
    <row r="863">
      <c r="K863" s="273"/>
      <c r="N863" s="177"/>
      <c r="O863" s="273"/>
      <c r="P863" s="177"/>
    </row>
    <row r="864">
      <c r="K864" s="273"/>
      <c r="N864" s="177"/>
      <c r="O864" s="273"/>
      <c r="P864" s="177"/>
    </row>
    <row r="865">
      <c r="K865" s="273"/>
      <c r="N865" s="177"/>
      <c r="O865" s="273"/>
      <c r="P865" s="177"/>
    </row>
    <row r="866">
      <c r="K866" s="273"/>
      <c r="N866" s="177"/>
      <c r="O866" s="273"/>
      <c r="P866" s="177"/>
    </row>
    <row r="867">
      <c r="K867" s="273"/>
      <c r="N867" s="177"/>
      <c r="O867" s="273"/>
      <c r="P867" s="177"/>
    </row>
    <row r="868">
      <c r="K868" s="273"/>
      <c r="N868" s="177"/>
      <c r="O868" s="273"/>
      <c r="P868" s="177"/>
    </row>
    <row r="869">
      <c r="K869" s="273"/>
      <c r="N869" s="177"/>
      <c r="O869" s="273"/>
      <c r="P869" s="177"/>
    </row>
    <row r="870">
      <c r="K870" s="273"/>
      <c r="N870" s="177"/>
      <c r="O870" s="273"/>
      <c r="P870" s="177"/>
    </row>
    <row r="871">
      <c r="K871" s="273"/>
      <c r="N871" s="177"/>
      <c r="O871" s="273"/>
      <c r="P871" s="177"/>
    </row>
    <row r="872">
      <c r="K872" s="273"/>
      <c r="N872" s="177"/>
      <c r="O872" s="273"/>
      <c r="P872" s="177"/>
    </row>
    <row r="873">
      <c r="K873" s="273"/>
      <c r="N873" s="177"/>
      <c r="O873" s="273"/>
      <c r="P873" s="177"/>
    </row>
    <row r="874">
      <c r="K874" s="273"/>
      <c r="N874" s="177"/>
      <c r="O874" s="273"/>
      <c r="P874" s="177"/>
    </row>
    <row r="875">
      <c r="K875" s="273"/>
      <c r="N875" s="177"/>
      <c r="O875" s="273"/>
      <c r="P875" s="177"/>
    </row>
    <row r="876">
      <c r="K876" s="273"/>
      <c r="N876" s="177"/>
      <c r="O876" s="273"/>
      <c r="P876" s="177"/>
    </row>
    <row r="877">
      <c r="K877" s="273"/>
      <c r="N877" s="177"/>
      <c r="O877" s="273"/>
      <c r="P877" s="177"/>
    </row>
    <row r="878">
      <c r="K878" s="273"/>
      <c r="N878" s="177"/>
      <c r="O878" s="273"/>
      <c r="P878" s="177"/>
    </row>
    <row r="879">
      <c r="K879" s="273"/>
      <c r="N879" s="177"/>
      <c r="O879" s="273"/>
      <c r="P879" s="177"/>
    </row>
    <row r="880">
      <c r="K880" s="273"/>
      <c r="N880" s="177"/>
      <c r="O880" s="273"/>
      <c r="P880" s="177"/>
    </row>
    <row r="881">
      <c r="K881" s="273"/>
      <c r="N881" s="177"/>
      <c r="O881" s="273"/>
      <c r="P881" s="177"/>
    </row>
    <row r="882">
      <c r="K882" s="273"/>
      <c r="N882" s="177"/>
      <c r="O882" s="273"/>
      <c r="P882" s="177"/>
    </row>
    <row r="883">
      <c r="K883" s="273"/>
      <c r="N883" s="177"/>
      <c r="O883" s="273"/>
      <c r="P883" s="177"/>
    </row>
    <row r="884">
      <c r="K884" s="273"/>
      <c r="N884" s="177"/>
      <c r="O884" s="273"/>
      <c r="P884" s="177"/>
    </row>
    <row r="885">
      <c r="K885" s="273"/>
      <c r="N885" s="177"/>
      <c r="O885" s="273"/>
      <c r="P885" s="177"/>
    </row>
    <row r="886">
      <c r="K886" s="273"/>
      <c r="N886" s="177"/>
      <c r="O886" s="273"/>
      <c r="P886" s="177"/>
    </row>
    <row r="887">
      <c r="K887" s="273"/>
      <c r="N887" s="177"/>
      <c r="O887" s="273"/>
      <c r="P887" s="177"/>
    </row>
    <row r="888">
      <c r="K888" s="273"/>
      <c r="N888" s="177"/>
      <c r="O888" s="273"/>
      <c r="P888" s="177"/>
    </row>
    <row r="889">
      <c r="K889" s="273"/>
      <c r="N889" s="177"/>
      <c r="O889" s="273"/>
      <c r="P889" s="177"/>
    </row>
    <row r="890">
      <c r="K890" s="273"/>
      <c r="N890" s="177"/>
      <c r="O890" s="273"/>
      <c r="P890" s="177"/>
    </row>
    <row r="891">
      <c r="K891" s="273"/>
      <c r="N891" s="177"/>
      <c r="O891" s="273"/>
      <c r="P891" s="177"/>
    </row>
    <row r="892">
      <c r="K892" s="273"/>
      <c r="N892" s="177"/>
      <c r="O892" s="273"/>
      <c r="P892" s="177"/>
    </row>
    <row r="893">
      <c r="K893" s="273"/>
      <c r="N893" s="177"/>
      <c r="O893" s="273"/>
      <c r="P893" s="177"/>
    </row>
    <row r="894">
      <c r="K894" s="273"/>
      <c r="N894" s="177"/>
      <c r="O894" s="273"/>
      <c r="P894" s="177"/>
    </row>
    <row r="895">
      <c r="K895" s="273"/>
      <c r="N895" s="177"/>
      <c r="O895" s="273"/>
      <c r="P895" s="177"/>
    </row>
    <row r="896">
      <c r="K896" s="273"/>
      <c r="N896" s="177"/>
      <c r="O896" s="273"/>
      <c r="P896" s="177"/>
    </row>
    <row r="897">
      <c r="K897" s="273"/>
      <c r="N897" s="177"/>
      <c r="O897" s="273"/>
      <c r="P897" s="177"/>
    </row>
    <row r="898">
      <c r="K898" s="273"/>
      <c r="N898" s="177"/>
      <c r="O898" s="273"/>
      <c r="P898" s="177"/>
    </row>
    <row r="899">
      <c r="K899" s="273"/>
      <c r="N899" s="177"/>
      <c r="O899" s="273"/>
      <c r="P899" s="177"/>
    </row>
    <row r="900">
      <c r="K900" s="273"/>
      <c r="N900" s="177"/>
      <c r="O900" s="273"/>
      <c r="P900" s="177"/>
    </row>
    <row r="901">
      <c r="K901" s="273"/>
      <c r="N901" s="177"/>
      <c r="O901" s="273"/>
      <c r="P901" s="177"/>
    </row>
    <row r="902">
      <c r="K902" s="273"/>
      <c r="N902" s="177"/>
      <c r="O902" s="273"/>
      <c r="P902" s="177"/>
    </row>
    <row r="903">
      <c r="K903" s="273"/>
      <c r="N903" s="177"/>
      <c r="O903" s="273"/>
      <c r="P903" s="177"/>
    </row>
    <row r="904">
      <c r="K904" s="273"/>
      <c r="N904" s="177"/>
      <c r="O904" s="273"/>
      <c r="P904" s="177"/>
    </row>
    <row r="905">
      <c r="K905" s="273"/>
      <c r="N905" s="177"/>
      <c r="O905" s="273"/>
      <c r="P905" s="177"/>
    </row>
    <row r="906">
      <c r="K906" s="273"/>
      <c r="N906" s="177"/>
      <c r="O906" s="273"/>
      <c r="P906" s="177"/>
    </row>
    <row r="907">
      <c r="K907" s="273"/>
      <c r="N907" s="177"/>
      <c r="O907" s="273"/>
      <c r="P907" s="177"/>
    </row>
    <row r="908">
      <c r="K908" s="273"/>
      <c r="N908" s="177"/>
      <c r="O908" s="273"/>
      <c r="P908" s="177"/>
    </row>
    <row r="909">
      <c r="K909" s="273"/>
      <c r="N909" s="177"/>
      <c r="O909" s="273"/>
      <c r="P909" s="177"/>
    </row>
    <row r="910">
      <c r="K910" s="273"/>
      <c r="N910" s="177"/>
      <c r="O910" s="273"/>
      <c r="P910" s="177"/>
    </row>
    <row r="911">
      <c r="K911" s="273"/>
      <c r="N911" s="177"/>
      <c r="O911" s="273"/>
      <c r="P911" s="177"/>
    </row>
    <row r="912">
      <c r="K912" s="273"/>
      <c r="N912" s="177"/>
      <c r="O912" s="273"/>
      <c r="P912" s="177"/>
    </row>
    <row r="913">
      <c r="K913" s="273"/>
      <c r="N913" s="177"/>
      <c r="O913" s="273"/>
      <c r="P913" s="177"/>
    </row>
    <row r="914">
      <c r="K914" s="273"/>
      <c r="N914" s="177"/>
      <c r="O914" s="273"/>
      <c r="P914" s="177"/>
    </row>
    <row r="915">
      <c r="K915" s="273"/>
      <c r="N915" s="177"/>
      <c r="O915" s="273"/>
      <c r="P915" s="177"/>
    </row>
    <row r="916">
      <c r="K916" s="273"/>
      <c r="N916" s="177"/>
      <c r="O916" s="273"/>
      <c r="P916" s="177"/>
    </row>
    <row r="917">
      <c r="K917" s="273"/>
      <c r="N917" s="177"/>
      <c r="O917" s="273"/>
      <c r="P917" s="177"/>
    </row>
    <row r="918">
      <c r="K918" s="273"/>
      <c r="N918" s="177"/>
      <c r="O918" s="273"/>
      <c r="P918" s="177"/>
    </row>
    <row r="919">
      <c r="K919" s="273"/>
      <c r="N919" s="177"/>
      <c r="O919" s="273"/>
      <c r="P919" s="177"/>
    </row>
    <row r="920">
      <c r="K920" s="273"/>
      <c r="N920" s="177"/>
      <c r="O920" s="273"/>
      <c r="P920" s="177"/>
    </row>
    <row r="921">
      <c r="K921" s="273"/>
      <c r="N921" s="177"/>
      <c r="O921" s="273"/>
      <c r="P921" s="177"/>
    </row>
    <row r="922">
      <c r="K922" s="273"/>
      <c r="N922" s="177"/>
      <c r="O922" s="273"/>
      <c r="P922" s="177"/>
    </row>
    <row r="923">
      <c r="K923" s="273"/>
      <c r="N923" s="177"/>
      <c r="O923" s="273"/>
      <c r="P923" s="177"/>
    </row>
    <row r="924">
      <c r="K924" s="273"/>
      <c r="N924" s="177"/>
      <c r="O924" s="273"/>
      <c r="P924" s="177"/>
    </row>
    <row r="925">
      <c r="K925" s="273"/>
      <c r="N925" s="177"/>
      <c r="O925" s="273"/>
      <c r="P925" s="177"/>
    </row>
    <row r="926">
      <c r="K926" s="273"/>
      <c r="N926" s="177"/>
      <c r="O926" s="273"/>
      <c r="P926" s="177"/>
    </row>
    <row r="927">
      <c r="K927" s="273"/>
      <c r="N927" s="177"/>
      <c r="O927" s="273"/>
      <c r="P927" s="177"/>
    </row>
    <row r="928">
      <c r="K928" s="273"/>
      <c r="N928" s="177"/>
      <c r="O928" s="273"/>
      <c r="P928" s="177"/>
    </row>
    <row r="929">
      <c r="K929" s="273"/>
      <c r="N929" s="177"/>
      <c r="O929" s="273"/>
      <c r="P929" s="177"/>
    </row>
    <row r="930">
      <c r="K930" s="273"/>
      <c r="N930" s="177"/>
      <c r="O930" s="273"/>
      <c r="P930" s="177"/>
    </row>
    <row r="931">
      <c r="K931" s="273"/>
      <c r="N931" s="177"/>
      <c r="O931" s="273"/>
      <c r="P931" s="177"/>
    </row>
    <row r="932">
      <c r="K932" s="273"/>
      <c r="N932" s="177"/>
      <c r="O932" s="273"/>
      <c r="P932" s="177"/>
    </row>
    <row r="933">
      <c r="K933" s="273"/>
      <c r="N933" s="177"/>
      <c r="O933" s="273"/>
      <c r="P933" s="177"/>
    </row>
    <row r="934">
      <c r="K934" s="273"/>
      <c r="N934" s="177"/>
      <c r="O934" s="273"/>
      <c r="P934" s="177"/>
    </row>
    <row r="935">
      <c r="K935" s="273"/>
      <c r="N935" s="177"/>
      <c r="O935" s="273"/>
      <c r="P935" s="177"/>
    </row>
    <row r="936">
      <c r="K936" s="273"/>
      <c r="N936" s="177"/>
      <c r="O936" s="273"/>
      <c r="P936" s="177"/>
    </row>
    <row r="937">
      <c r="K937" s="273"/>
      <c r="N937" s="177"/>
      <c r="O937" s="273"/>
      <c r="P937" s="177"/>
    </row>
    <row r="938">
      <c r="K938" s="273"/>
      <c r="N938" s="177"/>
      <c r="O938" s="273"/>
      <c r="P938" s="177"/>
    </row>
    <row r="939">
      <c r="K939" s="273"/>
      <c r="N939" s="177"/>
      <c r="O939" s="273"/>
      <c r="P939" s="177"/>
    </row>
    <row r="940">
      <c r="K940" s="273"/>
      <c r="N940" s="177"/>
      <c r="O940" s="273"/>
      <c r="P940" s="177"/>
    </row>
    <row r="941">
      <c r="K941" s="273"/>
      <c r="N941" s="177"/>
      <c r="O941" s="273"/>
      <c r="P941" s="177"/>
    </row>
    <row r="942">
      <c r="K942" s="273"/>
      <c r="N942" s="177"/>
      <c r="O942" s="273"/>
      <c r="P942" s="177"/>
    </row>
    <row r="943">
      <c r="K943" s="273"/>
      <c r="N943" s="177"/>
      <c r="O943" s="273"/>
      <c r="P943" s="177"/>
    </row>
    <row r="944">
      <c r="K944" s="273"/>
      <c r="N944" s="177"/>
      <c r="O944" s="273"/>
      <c r="P944" s="177"/>
    </row>
    <row r="945">
      <c r="K945" s="273"/>
      <c r="N945" s="177"/>
      <c r="O945" s="273"/>
      <c r="P945" s="177"/>
    </row>
    <row r="946">
      <c r="K946" s="273"/>
      <c r="N946" s="177"/>
      <c r="O946" s="273"/>
      <c r="P946" s="177"/>
    </row>
    <row r="947">
      <c r="K947" s="273"/>
      <c r="N947" s="177"/>
      <c r="O947" s="273"/>
      <c r="P947" s="177"/>
    </row>
    <row r="948">
      <c r="K948" s="273"/>
      <c r="N948" s="177"/>
      <c r="O948" s="273"/>
      <c r="P948" s="177"/>
    </row>
    <row r="949">
      <c r="K949" s="273"/>
      <c r="N949" s="177"/>
      <c r="O949" s="273"/>
      <c r="P949" s="177"/>
    </row>
    <row r="950">
      <c r="K950" s="273"/>
      <c r="N950" s="177"/>
      <c r="O950" s="273"/>
      <c r="P950" s="177"/>
    </row>
    <row r="951">
      <c r="K951" s="273"/>
      <c r="N951" s="177"/>
      <c r="O951" s="273"/>
      <c r="P951" s="177"/>
    </row>
    <row r="952">
      <c r="K952" s="273"/>
      <c r="N952" s="177"/>
      <c r="O952" s="273"/>
      <c r="P952" s="177"/>
    </row>
    <row r="953">
      <c r="K953" s="273"/>
      <c r="N953" s="177"/>
      <c r="O953" s="273"/>
      <c r="P953" s="177"/>
    </row>
    <row r="954">
      <c r="K954" s="273"/>
      <c r="N954" s="177"/>
      <c r="O954" s="273"/>
      <c r="P954" s="177"/>
    </row>
    <row r="955">
      <c r="K955" s="273"/>
      <c r="N955" s="177"/>
      <c r="O955" s="273"/>
      <c r="P955" s="177"/>
    </row>
    <row r="956">
      <c r="K956" s="273"/>
      <c r="N956" s="177"/>
      <c r="O956" s="273"/>
      <c r="P956" s="177"/>
    </row>
    <row r="957">
      <c r="K957" s="273"/>
      <c r="N957" s="177"/>
      <c r="O957" s="273"/>
      <c r="P957" s="177"/>
    </row>
    <row r="958">
      <c r="K958" s="273"/>
      <c r="N958" s="177"/>
      <c r="O958" s="273"/>
      <c r="P958" s="177"/>
    </row>
    <row r="959">
      <c r="K959" s="273"/>
      <c r="N959" s="177"/>
      <c r="O959" s="273"/>
      <c r="P959" s="177"/>
    </row>
    <row r="960">
      <c r="K960" s="273"/>
      <c r="N960" s="177"/>
      <c r="O960" s="273"/>
      <c r="P960" s="177"/>
    </row>
    <row r="961">
      <c r="K961" s="273"/>
      <c r="N961" s="177"/>
      <c r="O961" s="273"/>
      <c r="P961" s="177"/>
    </row>
    <row r="962">
      <c r="K962" s="273"/>
      <c r="N962" s="177"/>
      <c r="O962" s="273"/>
      <c r="P962" s="177"/>
    </row>
    <row r="963">
      <c r="K963" s="273"/>
      <c r="N963" s="177"/>
      <c r="O963" s="273"/>
      <c r="P963" s="177"/>
    </row>
    <row r="964">
      <c r="K964" s="273"/>
      <c r="N964" s="177"/>
      <c r="O964" s="273"/>
      <c r="P964" s="177"/>
    </row>
    <row r="965">
      <c r="K965" s="273"/>
      <c r="N965" s="177"/>
      <c r="O965" s="273"/>
      <c r="P965" s="177"/>
    </row>
    <row r="966">
      <c r="K966" s="273"/>
      <c r="N966" s="177"/>
      <c r="O966" s="273"/>
      <c r="P966" s="177"/>
    </row>
    <row r="967">
      <c r="K967" s="273"/>
      <c r="N967" s="177"/>
      <c r="O967" s="273"/>
      <c r="P967" s="177"/>
    </row>
    <row r="968">
      <c r="K968" s="273"/>
      <c r="N968" s="177"/>
      <c r="O968" s="273"/>
      <c r="P968" s="177"/>
    </row>
    <row r="969">
      <c r="K969" s="273"/>
      <c r="N969" s="177"/>
      <c r="O969" s="273"/>
      <c r="P969" s="177"/>
    </row>
    <row r="970">
      <c r="K970" s="273"/>
      <c r="N970" s="177"/>
      <c r="O970" s="273"/>
      <c r="P970" s="177"/>
    </row>
    <row r="971">
      <c r="K971" s="273"/>
      <c r="N971" s="177"/>
      <c r="O971" s="273"/>
      <c r="P971" s="177"/>
    </row>
    <row r="972">
      <c r="K972" s="273"/>
      <c r="N972" s="177"/>
      <c r="O972" s="273"/>
      <c r="P972" s="177"/>
    </row>
    <row r="973">
      <c r="K973" s="273"/>
      <c r="N973" s="177"/>
      <c r="O973" s="273"/>
      <c r="P973" s="177"/>
    </row>
    <row r="974">
      <c r="K974" s="273"/>
      <c r="N974" s="177"/>
      <c r="O974" s="273"/>
      <c r="P974" s="177"/>
    </row>
    <row r="975">
      <c r="K975" s="273"/>
      <c r="N975" s="177"/>
      <c r="O975" s="273"/>
      <c r="P975" s="177"/>
    </row>
    <row r="976">
      <c r="K976" s="273"/>
      <c r="N976" s="177"/>
      <c r="O976" s="273"/>
      <c r="P976" s="177"/>
    </row>
    <row r="977">
      <c r="K977" s="273"/>
      <c r="N977" s="177"/>
      <c r="O977" s="273"/>
      <c r="P977" s="177"/>
    </row>
    <row r="978">
      <c r="K978" s="273"/>
      <c r="N978" s="177"/>
      <c r="O978" s="273"/>
      <c r="P978" s="177"/>
    </row>
    <row r="979">
      <c r="K979" s="273"/>
      <c r="N979" s="177"/>
      <c r="O979" s="273"/>
      <c r="P979" s="177"/>
    </row>
    <row r="980">
      <c r="K980" s="273"/>
      <c r="N980" s="177"/>
      <c r="O980" s="273"/>
      <c r="P980" s="177"/>
    </row>
    <row r="981">
      <c r="K981" s="273"/>
      <c r="N981" s="177"/>
      <c r="O981" s="273"/>
      <c r="P981" s="177"/>
    </row>
    <row r="982">
      <c r="K982" s="273"/>
      <c r="N982" s="177"/>
      <c r="O982" s="273"/>
      <c r="P982" s="177"/>
    </row>
    <row r="983">
      <c r="K983" s="273"/>
      <c r="N983" s="177"/>
      <c r="O983" s="273"/>
      <c r="P983" s="177"/>
    </row>
    <row r="984">
      <c r="K984" s="273"/>
      <c r="N984" s="177"/>
      <c r="O984" s="273"/>
      <c r="P984" s="177"/>
    </row>
    <row r="985">
      <c r="K985" s="273"/>
      <c r="N985" s="177"/>
      <c r="O985" s="273"/>
      <c r="P985" s="177"/>
    </row>
    <row r="986">
      <c r="K986" s="273"/>
      <c r="N986" s="177"/>
      <c r="O986" s="273"/>
      <c r="P986" s="177"/>
    </row>
    <row r="987">
      <c r="K987" s="273"/>
      <c r="N987" s="177"/>
      <c r="O987" s="273"/>
      <c r="P987" s="177"/>
    </row>
    <row r="988">
      <c r="K988" s="273"/>
      <c r="N988" s="177"/>
      <c r="O988" s="273"/>
      <c r="P988" s="177"/>
    </row>
    <row r="989">
      <c r="K989" s="273"/>
      <c r="N989" s="177"/>
      <c r="O989" s="273"/>
      <c r="P989" s="177"/>
    </row>
    <row r="990">
      <c r="K990" s="273"/>
      <c r="N990" s="177"/>
      <c r="O990" s="273"/>
      <c r="P990" s="177"/>
    </row>
    <row r="991">
      <c r="K991" s="273"/>
      <c r="N991" s="177"/>
      <c r="O991" s="273"/>
      <c r="P991" s="177"/>
    </row>
    <row r="992">
      <c r="K992" s="273"/>
      <c r="N992" s="177"/>
      <c r="O992" s="273"/>
      <c r="P992" s="177"/>
    </row>
    <row r="993">
      <c r="K993" s="273"/>
      <c r="N993" s="177"/>
      <c r="O993" s="273"/>
      <c r="P993" s="177"/>
    </row>
    <row r="994">
      <c r="K994" s="273"/>
      <c r="N994" s="177"/>
      <c r="O994" s="273"/>
      <c r="P994" s="177"/>
    </row>
    <row r="995">
      <c r="K995" s="273"/>
      <c r="N995" s="177"/>
      <c r="O995" s="273"/>
      <c r="P995" s="177"/>
    </row>
    <row r="996">
      <c r="K996" s="273"/>
      <c r="N996" s="177"/>
      <c r="O996" s="273"/>
      <c r="P996" s="177"/>
    </row>
    <row r="997">
      <c r="K997" s="273"/>
      <c r="N997" s="177"/>
      <c r="O997" s="273"/>
      <c r="P997" s="177"/>
    </row>
    <row r="998">
      <c r="K998" s="273"/>
      <c r="N998" s="177"/>
      <c r="O998" s="273"/>
      <c r="P998" s="177"/>
    </row>
    <row r="999">
      <c r="K999" s="273"/>
      <c r="N999" s="177"/>
      <c r="O999" s="273"/>
      <c r="P999" s="177"/>
    </row>
    <row r="1000">
      <c r="K1000" s="273"/>
      <c r="N1000" s="177"/>
      <c r="O1000" s="273"/>
      <c r="P1000" s="177"/>
    </row>
  </sheetData>
  <mergeCells count="2">
    <mergeCell ref="A1:G1"/>
    <mergeCell ref="J1:Q1"/>
  </mergeCells>
  <dataValidations>
    <dataValidation type="list" allowBlank="1" sqref="F3:F43 F45:F85 F87:F127 F129:F169 F171:F211 F213:F253 F255:F295 F297:F337 F339:F379 F381:F421 F423:F463 F465:F505">
      <formula1>Inicio!$B$6:$B$25</formula1>
    </dataValidation>
    <dataValidation type="list" allowBlank="1" sqref="G3:G43 G45:G85 G87:G127 G129:G169 G171:G211 G213:G253 G255:G295 G297:G337 G339:G379 G381:G421 G423:G463 G465:G505">
      <formula1>Inicio!$D$6:$D$25</formula1>
    </dataValidation>
    <dataValidation type="list" allowBlank="1" sqref="Q3:Q43 Q45:Q85 Q87:Q127 Q129:Q169 Q171:Q211 Q213:Q253 Q255:Q295 Q297:Q337 Q339:Q379 Q381:Q421 Q423:Q463 Q465:Q505">
      <formula1>Inicio!$G$6:$G$25</formula1>
    </dataValidation>
    <dataValidation type="list" allowBlank="1" sqref="H3:H43 H45:H85 H87:H127 H129:H169 H171:H211 H213:H253 H255:H295 H297:H337 H339:H379 H381:H421 H423:H463 H465:H505">
      <formula1>Inicio!$H$6:$H$25</formula1>
    </dataValidation>
    <dataValidation type="list" allowBlank="1" sqref="B3:B43 B45:B85 B87:B127 B129:B169 B171:B211 B213:B253 B255:B295 B297:B337 B339:B379 B381:B421 B423:B463 B465:B505">
      <formula1>Tabelas!$B$13:$B$52</formula1>
    </dataValidation>
  </dataValidations>
  <hyperlinks>
    <hyperlink r:id="rId1" ref="D18"/>
  </hyperlinks>
  <drawing r:id="rId2"/>
  <tableParts count="25"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38"/>
    <col customWidth="1" min="2" max="2" width="13.63"/>
    <col customWidth="1" min="3" max="3" width="9.38"/>
    <col customWidth="1" min="4" max="4" width="14.88"/>
    <col customWidth="1" min="5" max="5" width="10.13"/>
    <col customWidth="1" min="6" max="7" width="15.5"/>
    <col customWidth="1" min="8" max="8" width="10.5"/>
    <col customWidth="1" min="9" max="9" width="10.63"/>
  </cols>
  <sheetData>
    <row r="1">
      <c r="A1" s="140" t="s">
        <v>113</v>
      </c>
      <c r="B1" s="12"/>
      <c r="C1" s="12"/>
      <c r="D1" s="12"/>
      <c r="E1" s="12"/>
      <c r="F1" s="12"/>
      <c r="G1" s="12"/>
      <c r="H1" s="12"/>
      <c r="I1" s="12"/>
      <c r="J1" s="141"/>
      <c r="K1" s="141"/>
      <c r="L1" s="141"/>
      <c r="M1" s="141"/>
    </row>
    <row r="2">
      <c r="A2" s="284" t="s">
        <v>114</v>
      </c>
      <c r="B2" s="143" t="s">
        <v>115</v>
      </c>
      <c r="C2" s="144" t="s">
        <v>116</v>
      </c>
      <c r="D2" s="143" t="s">
        <v>117</v>
      </c>
      <c r="E2" s="143" t="s">
        <v>118</v>
      </c>
      <c r="F2" s="145" t="s">
        <v>190</v>
      </c>
      <c r="G2" s="285" t="s">
        <v>119</v>
      </c>
      <c r="H2" s="146" t="s">
        <v>334</v>
      </c>
      <c r="I2" s="143" t="s">
        <v>335</v>
      </c>
      <c r="J2" s="147"/>
      <c r="K2" s="141"/>
      <c r="L2" s="141"/>
    </row>
    <row r="3">
      <c r="A3" s="286" t="s">
        <v>47</v>
      </c>
      <c r="B3" s="187" t="s">
        <v>86</v>
      </c>
      <c r="C3" s="188">
        <v>43833.0</v>
      </c>
      <c r="D3" s="189" t="s">
        <v>86</v>
      </c>
      <c r="E3" s="261">
        <v>120.0</v>
      </c>
      <c r="F3" s="153" t="s">
        <v>26</v>
      </c>
      <c r="G3" s="163" t="s">
        <v>14</v>
      </c>
      <c r="H3" s="153" t="s">
        <v>27</v>
      </c>
      <c r="I3" s="191" t="s">
        <v>16</v>
      </c>
      <c r="J3" s="156"/>
      <c r="K3" s="287"/>
      <c r="L3" s="288"/>
      <c r="M3" s="289"/>
      <c r="N3" s="169"/>
      <c r="P3" s="290"/>
    </row>
    <row r="4">
      <c r="A4" s="291" t="s">
        <v>47</v>
      </c>
      <c r="B4" s="159" t="s">
        <v>86</v>
      </c>
      <c r="C4" s="178">
        <v>43833.0</v>
      </c>
      <c r="D4" s="179" t="s">
        <v>86</v>
      </c>
      <c r="E4" s="268">
        <v>130.0</v>
      </c>
      <c r="F4" s="163" t="s">
        <v>26</v>
      </c>
      <c r="G4" s="163" t="s">
        <v>14</v>
      </c>
      <c r="H4" s="292" t="s">
        <v>27</v>
      </c>
      <c r="I4" s="293" t="s">
        <v>16</v>
      </c>
      <c r="J4" s="166"/>
      <c r="K4" s="166"/>
      <c r="L4" s="288"/>
      <c r="M4" s="289"/>
      <c r="N4" s="169"/>
    </row>
    <row r="5">
      <c r="A5" s="291" t="s">
        <v>47</v>
      </c>
      <c r="B5" s="159" t="s">
        <v>86</v>
      </c>
      <c r="C5" s="178">
        <v>43833.0</v>
      </c>
      <c r="D5" s="179" t="s">
        <v>86</v>
      </c>
      <c r="E5" s="268">
        <v>156.0</v>
      </c>
      <c r="F5" s="163" t="s">
        <v>26</v>
      </c>
      <c r="G5" s="163" t="s">
        <v>14</v>
      </c>
      <c r="H5" s="292" t="s">
        <v>27</v>
      </c>
      <c r="I5" s="293" t="s">
        <v>16</v>
      </c>
      <c r="J5" s="166"/>
      <c r="K5" s="287"/>
      <c r="L5" s="288"/>
      <c r="M5" s="289"/>
      <c r="N5" s="169"/>
    </row>
    <row r="6">
      <c r="A6" s="291" t="s">
        <v>47</v>
      </c>
      <c r="B6" s="159" t="s">
        <v>86</v>
      </c>
      <c r="C6" s="178">
        <v>43851.0</v>
      </c>
      <c r="D6" s="179" t="s">
        <v>86</v>
      </c>
      <c r="E6" s="268">
        <v>120.9</v>
      </c>
      <c r="F6" s="163" t="s">
        <v>26</v>
      </c>
      <c r="G6" s="163" t="s">
        <v>14</v>
      </c>
      <c r="H6" s="292" t="s">
        <v>27</v>
      </c>
      <c r="I6" s="293" t="s">
        <v>16</v>
      </c>
      <c r="J6" s="166"/>
      <c r="K6" s="287"/>
      <c r="L6" s="288"/>
      <c r="M6" s="289"/>
      <c r="N6" s="169"/>
    </row>
    <row r="7">
      <c r="A7" s="291" t="s">
        <v>47</v>
      </c>
      <c r="B7" s="159" t="s">
        <v>86</v>
      </c>
      <c r="C7" s="178">
        <v>43858.0</v>
      </c>
      <c r="D7" s="179" t="s">
        <v>86</v>
      </c>
      <c r="E7" s="268">
        <v>113.0</v>
      </c>
      <c r="F7" s="163" t="s">
        <v>26</v>
      </c>
      <c r="G7" s="163" t="s">
        <v>14</v>
      </c>
      <c r="H7" s="292" t="s">
        <v>27</v>
      </c>
      <c r="I7" s="293" t="s">
        <v>16</v>
      </c>
      <c r="J7" s="166"/>
      <c r="L7" s="141"/>
      <c r="M7" s="141"/>
      <c r="N7" s="169"/>
    </row>
    <row r="8">
      <c r="A8" s="291" t="s">
        <v>47</v>
      </c>
      <c r="B8" s="159"/>
      <c r="C8" s="178"/>
      <c r="D8" s="179"/>
      <c r="E8" s="268"/>
      <c r="F8" s="163"/>
      <c r="G8" s="163"/>
      <c r="H8" s="292"/>
      <c r="I8" s="293"/>
      <c r="J8" s="166"/>
      <c r="K8" s="192"/>
      <c r="L8" s="141"/>
      <c r="M8" s="141"/>
    </row>
    <row r="9">
      <c r="A9" s="291" t="s">
        <v>47</v>
      </c>
      <c r="B9" s="159"/>
      <c r="C9" s="178"/>
      <c r="D9" s="179"/>
      <c r="E9" s="268"/>
      <c r="F9" s="163"/>
      <c r="G9" s="163"/>
      <c r="H9" s="294"/>
      <c r="I9" s="295"/>
      <c r="J9" s="166"/>
      <c r="K9" s="182"/>
      <c r="L9" s="89"/>
      <c r="M9" s="141"/>
    </row>
    <row r="10">
      <c r="A10" s="291" t="s">
        <v>47</v>
      </c>
      <c r="B10" s="159"/>
      <c r="C10" s="178"/>
      <c r="D10" s="179"/>
      <c r="E10" s="268"/>
      <c r="F10" s="163"/>
      <c r="G10" s="163"/>
      <c r="H10" s="294"/>
      <c r="I10" s="295"/>
      <c r="J10" s="166"/>
      <c r="K10" s="182"/>
      <c r="L10" s="89"/>
      <c r="M10" s="141"/>
    </row>
    <row r="11">
      <c r="A11" s="291" t="s">
        <v>47</v>
      </c>
      <c r="B11" s="159"/>
      <c r="C11" s="178"/>
      <c r="D11" s="179"/>
      <c r="E11" s="268"/>
      <c r="F11" s="163"/>
      <c r="G11" s="163"/>
      <c r="H11" s="294"/>
      <c r="I11" s="295"/>
      <c r="J11" s="166"/>
      <c r="K11" s="182"/>
      <c r="L11" s="89"/>
      <c r="M11" s="141"/>
    </row>
    <row r="12">
      <c r="A12" s="291" t="s">
        <v>47</v>
      </c>
      <c r="B12" s="159"/>
      <c r="C12" s="178"/>
      <c r="D12" s="179"/>
      <c r="E12" s="268"/>
      <c r="F12" s="163"/>
      <c r="G12" s="163"/>
      <c r="H12" s="294"/>
      <c r="I12" s="295"/>
      <c r="J12" s="166"/>
      <c r="K12" s="182"/>
      <c r="L12" s="141"/>
      <c r="M12" s="141"/>
      <c r="N12" s="169"/>
    </row>
    <row r="13">
      <c r="A13" s="291" t="s">
        <v>47</v>
      </c>
      <c r="B13" s="159"/>
      <c r="C13" s="178"/>
      <c r="D13" s="179"/>
      <c r="E13" s="268"/>
      <c r="F13" s="163"/>
      <c r="G13" s="163"/>
      <c r="H13" s="294"/>
      <c r="I13" s="295"/>
      <c r="J13" s="166"/>
      <c r="K13" s="167"/>
      <c r="L13" s="165"/>
      <c r="M13" s="157"/>
      <c r="N13" s="236"/>
      <c r="O13" s="236"/>
    </row>
    <row r="14">
      <c r="A14" s="291" t="s">
        <v>47</v>
      </c>
      <c r="B14" s="159"/>
      <c r="C14" s="178"/>
      <c r="D14" s="179"/>
      <c r="E14" s="268"/>
      <c r="F14" s="163"/>
      <c r="G14" s="269"/>
      <c r="H14" s="294"/>
      <c r="I14" s="295"/>
      <c r="J14" s="166"/>
      <c r="K14" s="167"/>
      <c r="L14" s="165"/>
      <c r="M14" s="157"/>
    </row>
    <row r="15">
      <c r="A15" s="291" t="s">
        <v>47</v>
      </c>
      <c r="B15" s="159"/>
      <c r="C15" s="178"/>
      <c r="D15" s="179"/>
      <c r="E15" s="268"/>
      <c r="F15" s="163"/>
      <c r="G15" s="269"/>
      <c r="H15" s="294"/>
      <c r="I15" s="295"/>
      <c r="J15" s="166"/>
      <c r="K15" s="167"/>
      <c r="L15" s="165"/>
      <c r="M15" s="157"/>
      <c r="O15" s="156"/>
      <c r="P15" s="31"/>
    </row>
    <row r="16">
      <c r="A16" s="291" t="s">
        <v>47</v>
      </c>
      <c r="B16" s="159"/>
      <c r="C16" s="178"/>
      <c r="D16" s="179"/>
      <c r="E16" s="268"/>
      <c r="F16" s="163"/>
      <c r="G16" s="269"/>
      <c r="H16" s="294"/>
      <c r="I16" s="295"/>
      <c r="J16" s="166"/>
      <c r="K16" s="167"/>
      <c r="L16" s="165"/>
      <c r="M16" s="157"/>
      <c r="O16" s="156"/>
      <c r="P16" s="31"/>
    </row>
    <row r="17">
      <c r="A17" s="291" t="s">
        <v>47</v>
      </c>
      <c r="B17" s="159"/>
      <c r="C17" s="178"/>
      <c r="D17" s="179"/>
      <c r="E17" s="268"/>
      <c r="F17" s="163"/>
      <c r="G17" s="269"/>
      <c r="H17" s="294"/>
      <c r="I17" s="295"/>
      <c r="J17" s="166"/>
      <c r="K17" s="167"/>
      <c r="L17" s="165"/>
      <c r="M17" s="157"/>
      <c r="O17" s="156"/>
      <c r="P17" s="31"/>
    </row>
    <row r="18">
      <c r="A18" s="291" t="s">
        <v>47</v>
      </c>
      <c r="B18" s="159"/>
      <c r="C18" s="178"/>
      <c r="D18" s="179"/>
      <c r="E18" s="268"/>
      <c r="F18" s="163"/>
      <c r="G18" s="269"/>
      <c r="H18" s="294"/>
      <c r="I18" s="295"/>
      <c r="J18" s="166"/>
      <c r="K18" s="167"/>
      <c r="L18" s="165"/>
      <c r="M18" s="157"/>
      <c r="O18" s="156"/>
      <c r="P18" s="175"/>
    </row>
    <row r="19">
      <c r="A19" s="291" t="s">
        <v>47</v>
      </c>
      <c r="B19" s="159"/>
      <c r="C19" s="178"/>
      <c r="D19" s="179"/>
      <c r="E19" s="268"/>
      <c r="F19" s="163"/>
      <c r="G19" s="269"/>
      <c r="H19" s="294"/>
      <c r="I19" s="295"/>
      <c r="J19" s="166"/>
      <c r="K19" s="167"/>
      <c r="L19" s="165"/>
      <c r="M19" s="157"/>
      <c r="O19" s="156"/>
      <c r="P19" s="175"/>
    </row>
    <row r="20">
      <c r="A20" s="291" t="s">
        <v>47</v>
      </c>
      <c r="B20" s="159"/>
      <c r="C20" s="178"/>
      <c r="D20" s="179"/>
      <c r="E20" s="268"/>
      <c r="F20" s="163"/>
      <c r="G20" s="269"/>
      <c r="H20" s="294"/>
      <c r="I20" s="295"/>
      <c r="J20" s="166"/>
      <c r="K20" s="167"/>
      <c r="L20" s="165"/>
      <c r="M20" s="157"/>
      <c r="O20" s="177"/>
    </row>
    <row r="21">
      <c r="A21" s="291" t="s">
        <v>47</v>
      </c>
      <c r="B21" s="159"/>
      <c r="C21" s="178"/>
      <c r="D21" s="179"/>
      <c r="E21" s="268"/>
      <c r="F21" s="163"/>
      <c r="G21" s="269"/>
      <c r="H21" s="294"/>
      <c r="I21" s="295"/>
      <c r="J21" s="166"/>
      <c r="K21" s="167"/>
      <c r="L21" s="165"/>
      <c r="M21" s="157"/>
    </row>
    <row r="22">
      <c r="A22" s="291" t="s">
        <v>47</v>
      </c>
      <c r="B22" s="159"/>
      <c r="C22" s="178"/>
      <c r="D22" s="179"/>
      <c r="E22" s="268"/>
      <c r="F22" s="163"/>
      <c r="G22" s="269"/>
      <c r="H22" s="294"/>
      <c r="I22" s="295"/>
      <c r="J22" s="166"/>
      <c r="K22" s="167"/>
      <c r="L22" s="165"/>
      <c r="M22" s="157"/>
    </row>
    <row r="23">
      <c r="A23" s="291" t="s">
        <v>47</v>
      </c>
      <c r="B23" s="159"/>
      <c r="C23" s="178"/>
      <c r="D23" s="179"/>
      <c r="E23" s="268"/>
      <c r="F23" s="163"/>
      <c r="G23" s="269"/>
      <c r="H23" s="294"/>
      <c r="I23" s="295"/>
      <c r="J23" s="166"/>
      <c r="K23" s="167"/>
      <c r="L23" s="165"/>
      <c r="M23" s="157"/>
    </row>
    <row r="24">
      <c r="A24" s="291" t="s">
        <v>47</v>
      </c>
      <c r="B24" s="159"/>
      <c r="C24" s="178"/>
      <c r="D24" s="179"/>
      <c r="E24" s="268"/>
      <c r="F24" s="163"/>
      <c r="G24" s="269"/>
      <c r="H24" s="294"/>
      <c r="I24" s="295"/>
      <c r="J24" s="166"/>
      <c r="K24" s="167"/>
      <c r="L24" s="165"/>
      <c r="M24" s="157"/>
    </row>
    <row r="25">
      <c r="A25" s="291" t="s">
        <v>47</v>
      </c>
      <c r="B25" s="159"/>
      <c r="C25" s="178"/>
      <c r="D25" s="179"/>
      <c r="E25" s="268"/>
      <c r="F25" s="163"/>
      <c r="G25" s="269"/>
      <c r="H25" s="294"/>
      <c r="I25" s="295"/>
      <c r="J25" s="166"/>
      <c r="K25" s="167"/>
      <c r="L25" s="165"/>
      <c r="M25" s="157"/>
    </row>
    <row r="26">
      <c r="A26" s="291" t="s">
        <v>47</v>
      </c>
      <c r="B26" s="159"/>
      <c r="C26" s="178"/>
      <c r="D26" s="179"/>
      <c r="E26" s="268"/>
      <c r="F26" s="163"/>
      <c r="G26" s="269"/>
      <c r="H26" s="294"/>
      <c r="I26" s="295"/>
      <c r="J26" s="166"/>
      <c r="K26" s="167"/>
      <c r="L26" s="165"/>
      <c r="M26" s="157"/>
    </row>
    <row r="27">
      <c r="A27" s="291" t="s">
        <v>47</v>
      </c>
      <c r="B27" s="159"/>
      <c r="C27" s="178"/>
      <c r="D27" s="179"/>
      <c r="E27" s="268"/>
      <c r="F27" s="163"/>
      <c r="G27" s="163"/>
      <c r="H27" s="269"/>
      <c r="I27" s="176"/>
      <c r="J27" s="177"/>
      <c r="K27" s="155"/>
      <c r="L27" s="155"/>
      <c r="M27" s="157"/>
    </row>
    <row r="28">
      <c r="A28" s="291" t="s">
        <v>47</v>
      </c>
      <c r="B28" s="159"/>
      <c r="C28" s="178"/>
      <c r="D28" s="179"/>
      <c r="E28" s="268"/>
      <c r="F28" s="163"/>
      <c r="G28" s="163"/>
      <c r="H28" s="269"/>
      <c r="I28" s="176"/>
      <c r="J28" s="177"/>
      <c r="K28" s="155"/>
      <c r="L28" s="155"/>
      <c r="M28" s="157"/>
    </row>
    <row r="29">
      <c r="A29" s="291" t="s">
        <v>47</v>
      </c>
      <c r="B29" s="159"/>
      <c r="C29" s="178"/>
      <c r="D29" s="179"/>
      <c r="E29" s="268"/>
      <c r="F29" s="163"/>
      <c r="G29" s="163"/>
      <c r="H29" s="269"/>
      <c r="I29" s="176"/>
      <c r="J29" s="177"/>
      <c r="K29" s="155"/>
      <c r="L29" s="155"/>
      <c r="M29" s="157"/>
    </row>
    <row r="30">
      <c r="A30" s="291" t="s">
        <v>47</v>
      </c>
      <c r="B30" s="159"/>
      <c r="C30" s="178"/>
      <c r="D30" s="179"/>
      <c r="E30" s="268"/>
      <c r="F30" s="163"/>
      <c r="G30" s="163"/>
      <c r="H30" s="269"/>
      <c r="I30" s="176"/>
      <c r="J30" s="177"/>
      <c r="K30" s="155"/>
      <c r="L30" s="155"/>
      <c r="M30" s="157"/>
    </row>
    <row r="31">
      <c r="A31" s="291" t="s">
        <v>47</v>
      </c>
      <c r="B31" s="159"/>
      <c r="C31" s="178"/>
      <c r="D31" s="179"/>
      <c r="E31" s="268"/>
      <c r="F31" s="163"/>
      <c r="G31" s="163"/>
      <c r="H31" s="269"/>
      <c r="I31" s="176"/>
      <c r="J31" s="177"/>
      <c r="K31" s="155"/>
      <c r="L31" s="155"/>
      <c r="M31" s="157"/>
    </row>
    <row r="32">
      <c r="A32" s="291" t="s">
        <v>47</v>
      </c>
      <c r="B32" s="159"/>
      <c r="C32" s="178"/>
      <c r="D32" s="179"/>
      <c r="E32" s="268"/>
      <c r="F32" s="163"/>
      <c r="G32" s="163"/>
      <c r="H32" s="269"/>
      <c r="I32" s="176"/>
      <c r="J32" s="177"/>
      <c r="K32" s="155"/>
      <c r="L32" s="155"/>
      <c r="M32" s="157"/>
    </row>
    <row r="33">
      <c r="A33" s="291" t="s">
        <v>47</v>
      </c>
      <c r="B33" s="159"/>
      <c r="C33" s="178"/>
      <c r="D33" s="179"/>
      <c r="E33" s="268"/>
      <c r="F33" s="163"/>
      <c r="G33" s="163"/>
      <c r="H33" s="269"/>
      <c r="I33" s="176"/>
      <c r="J33" s="177"/>
      <c r="K33" s="155"/>
      <c r="L33" s="155"/>
    </row>
    <row r="34">
      <c r="A34" s="291" t="s">
        <v>47</v>
      </c>
      <c r="B34" s="159"/>
      <c r="C34" s="178"/>
      <c r="D34" s="179"/>
      <c r="E34" s="268"/>
      <c r="F34" s="163"/>
      <c r="G34" s="163"/>
      <c r="H34" s="269"/>
      <c r="I34" s="176"/>
      <c r="J34" s="89"/>
      <c r="K34" s="141"/>
      <c r="L34" s="141"/>
    </row>
    <row r="35">
      <c r="A35" s="291" t="s">
        <v>47</v>
      </c>
      <c r="B35" s="159"/>
      <c r="C35" s="178"/>
      <c r="D35" s="179"/>
      <c r="E35" s="268"/>
      <c r="F35" s="163"/>
      <c r="G35" s="163"/>
      <c r="H35" s="269"/>
      <c r="I35" s="176"/>
      <c r="J35" s="89"/>
      <c r="K35" s="141"/>
      <c r="L35" s="141"/>
    </row>
    <row r="36">
      <c r="A36" s="291" t="s">
        <v>47</v>
      </c>
      <c r="B36" s="159"/>
      <c r="C36" s="178"/>
      <c r="D36" s="179"/>
      <c r="E36" s="268"/>
      <c r="F36" s="163"/>
      <c r="G36" s="163"/>
      <c r="H36" s="269"/>
      <c r="I36" s="176"/>
      <c r="J36" s="156"/>
      <c r="K36" s="89"/>
      <c r="L36" s="141"/>
    </row>
    <row r="37">
      <c r="A37" s="291" t="s">
        <v>47</v>
      </c>
      <c r="B37" s="159"/>
      <c r="C37" s="178"/>
      <c r="D37" s="179"/>
      <c r="E37" s="268"/>
      <c r="F37" s="163"/>
      <c r="G37" s="163"/>
      <c r="H37" s="269"/>
      <c r="I37" s="176"/>
      <c r="J37" s="156"/>
      <c r="K37" s="89"/>
      <c r="L37" s="141"/>
    </row>
    <row r="38">
      <c r="A38" s="291" t="s">
        <v>47</v>
      </c>
      <c r="B38" s="159"/>
      <c r="C38" s="178"/>
      <c r="D38" s="179"/>
      <c r="E38" s="268"/>
      <c r="F38" s="163"/>
      <c r="G38" s="163"/>
      <c r="H38" s="269"/>
      <c r="I38" s="176"/>
      <c r="J38" s="156"/>
      <c r="K38" s="89"/>
      <c r="L38" s="141"/>
    </row>
    <row r="39">
      <c r="A39" s="291" t="s">
        <v>47</v>
      </c>
      <c r="B39" s="159"/>
      <c r="C39" s="178"/>
      <c r="D39" s="179"/>
      <c r="E39" s="268"/>
      <c r="F39" s="163"/>
      <c r="G39" s="163"/>
      <c r="H39" s="269"/>
      <c r="I39" s="176"/>
      <c r="J39" s="177"/>
      <c r="K39" s="80"/>
      <c r="L39" s="155"/>
    </row>
    <row r="40">
      <c r="A40" s="291" t="s">
        <v>47</v>
      </c>
      <c r="B40" s="159"/>
      <c r="C40" s="178"/>
      <c r="D40" s="179"/>
      <c r="E40" s="268"/>
      <c r="F40" s="163"/>
      <c r="G40" s="163"/>
      <c r="H40" s="269"/>
      <c r="I40" s="176"/>
      <c r="J40" s="177"/>
      <c r="K40" s="80"/>
      <c r="L40" s="155"/>
    </row>
    <row r="41">
      <c r="A41" s="291" t="s">
        <v>47</v>
      </c>
      <c r="B41" s="159"/>
      <c r="C41" s="178"/>
      <c r="D41" s="179"/>
      <c r="E41" s="268"/>
      <c r="F41" s="163"/>
      <c r="G41" s="163"/>
      <c r="H41" s="269"/>
      <c r="I41" s="176"/>
      <c r="J41" s="177"/>
      <c r="K41" s="80"/>
      <c r="L41" s="155"/>
    </row>
    <row r="42">
      <c r="A42" s="291" t="s">
        <v>47</v>
      </c>
      <c r="B42" s="159"/>
      <c r="C42" s="178"/>
      <c r="D42" s="179"/>
      <c r="E42" s="268"/>
      <c r="F42" s="163"/>
      <c r="G42" s="163"/>
      <c r="H42" s="269"/>
      <c r="I42" s="176"/>
      <c r="J42" s="177"/>
      <c r="K42" s="89"/>
      <c r="L42" s="296"/>
    </row>
    <row r="43">
      <c r="A43" s="297" t="s">
        <v>47</v>
      </c>
      <c r="B43" s="159"/>
      <c r="C43" s="178"/>
      <c r="D43" s="179"/>
      <c r="E43" s="268"/>
      <c r="F43" s="163"/>
      <c r="G43" s="197"/>
      <c r="H43" s="298"/>
      <c r="I43" s="299"/>
      <c r="J43" s="177"/>
      <c r="K43" s="80"/>
      <c r="L43" s="155"/>
    </row>
    <row r="44">
      <c r="B44" s="186"/>
      <c r="C44" s="186"/>
      <c r="D44" s="186"/>
      <c r="E44" s="186"/>
      <c r="F44" s="186"/>
      <c r="G44" s="141"/>
      <c r="H44" s="155"/>
      <c r="I44" s="260"/>
      <c r="J44" s="177"/>
      <c r="K44" s="80"/>
      <c r="L44" s="155"/>
    </row>
    <row r="45">
      <c r="A45" s="286" t="s">
        <v>48</v>
      </c>
      <c r="B45" s="187" t="s">
        <v>86</v>
      </c>
      <c r="C45" s="188">
        <v>43875.0</v>
      </c>
      <c r="D45" s="189" t="s">
        <v>86</v>
      </c>
      <c r="E45" s="261">
        <v>400.0</v>
      </c>
      <c r="F45" s="153" t="s">
        <v>26</v>
      </c>
      <c r="G45" s="153" t="s">
        <v>14</v>
      </c>
      <c r="H45" s="153" t="s">
        <v>27</v>
      </c>
      <c r="I45" s="191" t="s">
        <v>16</v>
      </c>
      <c r="J45" s="177"/>
    </row>
    <row r="46">
      <c r="A46" s="291" t="s">
        <v>48</v>
      </c>
      <c r="B46" s="159" t="s">
        <v>79</v>
      </c>
      <c r="C46" s="178">
        <v>43876.0</v>
      </c>
      <c r="D46" s="179" t="s">
        <v>79</v>
      </c>
      <c r="E46" s="268">
        <v>40.0</v>
      </c>
      <c r="F46" s="163" t="s">
        <v>26</v>
      </c>
      <c r="G46" s="163" t="s">
        <v>22</v>
      </c>
      <c r="H46" s="292" t="s">
        <v>27</v>
      </c>
      <c r="I46" s="293" t="s">
        <v>24</v>
      </c>
      <c r="J46" s="177"/>
    </row>
    <row r="47">
      <c r="A47" s="291" t="s">
        <v>48</v>
      </c>
      <c r="B47" s="159" t="s">
        <v>86</v>
      </c>
      <c r="C47" s="178">
        <v>43889.0</v>
      </c>
      <c r="D47" s="179" t="s">
        <v>336</v>
      </c>
      <c r="E47" s="268">
        <v>50.0</v>
      </c>
      <c r="F47" s="163" t="s">
        <v>14</v>
      </c>
      <c r="G47" s="163" t="s">
        <v>26</v>
      </c>
      <c r="H47" s="292" t="s">
        <v>16</v>
      </c>
      <c r="I47" s="293" t="s">
        <v>27</v>
      </c>
      <c r="J47" s="177"/>
    </row>
    <row r="48">
      <c r="A48" s="291" t="s">
        <v>48</v>
      </c>
      <c r="B48" s="159" t="s">
        <v>86</v>
      </c>
      <c r="C48" s="178">
        <v>43878.0</v>
      </c>
      <c r="D48" s="179" t="s">
        <v>337</v>
      </c>
      <c r="E48" s="268">
        <v>76.65</v>
      </c>
      <c r="F48" s="163" t="s">
        <v>26</v>
      </c>
      <c r="G48" s="163" t="s">
        <v>14</v>
      </c>
      <c r="H48" s="292" t="s">
        <v>27</v>
      </c>
      <c r="I48" s="293" t="s">
        <v>16</v>
      </c>
      <c r="J48" s="177"/>
      <c r="K48" s="192"/>
      <c r="L48" s="141"/>
      <c r="M48" s="141"/>
      <c r="N48" s="165"/>
      <c r="O48" s="165"/>
    </row>
    <row r="49">
      <c r="A49" s="291" t="s">
        <v>48</v>
      </c>
      <c r="B49" s="159" t="s">
        <v>79</v>
      </c>
      <c r="C49" s="178">
        <v>43882.0</v>
      </c>
      <c r="D49" s="179" t="s">
        <v>79</v>
      </c>
      <c r="E49" s="268">
        <v>120.0</v>
      </c>
      <c r="F49" s="163" t="s">
        <v>26</v>
      </c>
      <c r="G49" s="163" t="s">
        <v>22</v>
      </c>
      <c r="H49" s="292" t="s">
        <v>27</v>
      </c>
      <c r="I49" s="293" t="s">
        <v>24</v>
      </c>
      <c r="J49" s="177"/>
      <c r="K49" s="181"/>
    </row>
    <row r="50">
      <c r="A50" s="291" t="s">
        <v>48</v>
      </c>
      <c r="B50" s="159" t="s">
        <v>79</v>
      </c>
      <c r="C50" s="178">
        <v>43890.0</v>
      </c>
      <c r="D50" s="179" t="s">
        <v>218</v>
      </c>
      <c r="E50" s="268">
        <v>100.0</v>
      </c>
      <c r="F50" s="163" t="s">
        <v>26</v>
      </c>
      <c r="G50" s="163" t="s">
        <v>22</v>
      </c>
      <c r="H50" s="292" t="s">
        <v>27</v>
      </c>
      <c r="I50" s="293" t="s">
        <v>24</v>
      </c>
      <c r="J50" s="177"/>
      <c r="K50" s="181"/>
    </row>
    <row r="51">
      <c r="A51" s="291" t="s">
        <v>48</v>
      </c>
      <c r="B51" s="159"/>
      <c r="C51" s="178"/>
      <c r="D51" s="179"/>
      <c r="E51" s="268"/>
      <c r="F51" s="163"/>
      <c r="G51" s="269"/>
      <c r="H51" s="294"/>
      <c r="I51" s="295"/>
      <c r="J51" s="177"/>
    </row>
    <row r="52">
      <c r="A52" s="291" t="s">
        <v>48</v>
      </c>
      <c r="B52" s="159"/>
      <c r="C52" s="178"/>
      <c r="D52" s="179"/>
      <c r="E52" s="268"/>
      <c r="F52" s="163"/>
      <c r="G52" s="269"/>
      <c r="H52" s="294"/>
      <c r="I52" s="295"/>
      <c r="J52" s="177"/>
      <c r="K52" s="80"/>
      <c r="L52" s="155"/>
    </row>
    <row r="53">
      <c r="A53" s="291" t="s">
        <v>48</v>
      </c>
      <c r="B53" s="159"/>
      <c r="C53" s="178"/>
      <c r="D53" s="179"/>
      <c r="E53" s="268"/>
      <c r="F53" s="163"/>
      <c r="G53" s="269"/>
      <c r="H53" s="294"/>
      <c r="I53" s="295"/>
      <c r="J53" s="177"/>
      <c r="K53" s="80"/>
      <c r="L53" s="155"/>
    </row>
    <row r="54">
      <c r="A54" s="291" t="s">
        <v>48</v>
      </c>
      <c r="B54" s="159"/>
      <c r="C54" s="178"/>
      <c r="D54" s="179"/>
      <c r="E54" s="268"/>
      <c r="F54" s="163"/>
      <c r="G54" s="269"/>
      <c r="H54" s="294"/>
      <c r="I54" s="295"/>
      <c r="J54" s="177"/>
      <c r="K54" s="80"/>
      <c r="L54" s="155"/>
    </row>
    <row r="55">
      <c r="A55" s="291" t="s">
        <v>48</v>
      </c>
      <c r="B55" s="159"/>
      <c r="C55" s="178"/>
      <c r="D55" s="179"/>
      <c r="E55" s="268"/>
      <c r="F55" s="163"/>
      <c r="G55" s="269"/>
      <c r="H55" s="294"/>
      <c r="I55" s="295"/>
      <c r="J55" s="177"/>
      <c r="K55" s="80"/>
      <c r="L55" s="155"/>
    </row>
    <row r="56">
      <c r="A56" s="291" t="s">
        <v>48</v>
      </c>
      <c r="B56" s="159"/>
      <c r="C56" s="178"/>
      <c r="D56" s="179"/>
      <c r="E56" s="268"/>
      <c r="F56" s="163"/>
      <c r="G56" s="269"/>
      <c r="H56" s="294"/>
      <c r="I56" s="295"/>
      <c r="J56" s="177"/>
      <c r="K56" s="80"/>
      <c r="L56" s="155"/>
    </row>
    <row r="57">
      <c r="A57" s="291" t="s">
        <v>48</v>
      </c>
      <c r="B57" s="159"/>
      <c r="C57" s="178"/>
      <c r="D57" s="179"/>
      <c r="E57" s="268"/>
      <c r="F57" s="163"/>
      <c r="G57" s="269"/>
      <c r="H57" s="294"/>
      <c r="I57" s="295"/>
      <c r="J57" s="177"/>
      <c r="K57" s="80"/>
      <c r="L57" s="155"/>
    </row>
    <row r="58">
      <c r="A58" s="291" t="s">
        <v>48</v>
      </c>
      <c r="B58" s="159"/>
      <c r="C58" s="178"/>
      <c r="D58" s="179"/>
      <c r="E58" s="268"/>
      <c r="F58" s="163"/>
      <c r="G58" s="269"/>
      <c r="H58" s="294"/>
      <c r="I58" s="295"/>
      <c r="J58" s="177"/>
      <c r="K58" s="80"/>
      <c r="L58" s="155"/>
    </row>
    <row r="59">
      <c r="A59" s="291" t="s">
        <v>48</v>
      </c>
      <c r="B59" s="159"/>
      <c r="C59" s="178"/>
      <c r="D59" s="179"/>
      <c r="E59" s="268"/>
      <c r="F59" s="163"/>
      <c r="G59" s="269"/>
      <c r="H59" s="294"/>
      <c r="I59" s="295"/>
      <c r="J59" s="177"/>
      <c r="K59" s="80"/>
      <c r="L59" s="155"/>
    </row>
    <row r="60">
      <c r="A60" s="291" t="s">
        <v>48</v>
      </c>
      <c r="B60" s="159"/>
      <c r="C60" s="178"/>
      <c r="D60" s="179"/>
      <c r="E60" s="268"/>
      <c r="F60" s="163"/>
      <c r="G60" s="269"/>
      <c r="H60" s="294"/>
      <c r="I60" s="295"/>
      <c r="J60" s="177"/>
      <c r="K60" s="80"/>
      <c r="L60" s="155"/>
    </row>
    <row r="61">
      <c r="A61" s="291" t="s">
        <v>48</v>
      </c>
      <c r="B61" s="159"/>
      <c r="C61" s="178"/>
      <c r="D61" s="179"/>
      <c r="E61" s="268"/>
      <c r="F61" s="163"/>
      <c r="G61" s="269"/>
      <c r="H61" s="294"/>
      <c r="I61" s="295"/>
      <c r="J61" s="177"/>
      <c r="K61" s="80"/>
      <c r="L61" s="155"/>
    </row>
    <row r="62">
      <c r="A62" s="291" t="s">
        <v>48</v>
      </c>
      <c r="B62" s="159"/>
      <c r="C62" s="178"/>
      <c r="D62" s="179"/>
      <c r="E62" s="268"/>
      <c r="F62" s="163"/>
      <c r="G62" s="269"/>
      <c r="H62" s="294"/>
      <c r="I62" s="295"/>
      <c r="J62" s="177"/>
      <c r="K62" s="80"/>
      <c r="L62" s="155"/>
    </row>
    <row r="63">
      <c r="A63" s="291" t="s">
        <v>48</v>
      </c>
      <c r="B63" s="159"/>
      <c r="C63" s="178"/>
      <c r="D63" s="179"/>
      <c r="E63" s="268"/>
      <c r="F63" s="163"/>
      <c r="G63" s="269"/>
      <c r="H63" s="294"/>
      <c r="I63" s="295"/>
      <c r="J63" s="177"/>
      <c r="K63" s="80"/>
      <c r="L63" s="155"/>
    </row>
    <row r="64">
      <c r="A64" s="291" t="s">
        <v>48</v>
      </c>
      <c r="B64" s="159"/>
      <c r="C64" s="178"/>
      <c r="D64" s="179"/>
      <c r="E64" s="268"/>
      <c r="F64" s="163"/>
      <c r="G64" s="269"/>
      <c r="H64" s="294"/>
      <c r="I64" s="295"/>
      <c r="J64" s="177"/>
      <c r="K64" s="80"/>
      <c r="L64" s="155"/>
    </row>
    <row r="65">
      <c r="A65" s="291" t="s">
        <v>48</v>
      </c>
      <c r="B65" s="159"/>
      <c r="C65" s="178"/>
      <c r="D65" s="179"/>
      <c r="E65" s="268"/>
      <c r="F65" s="163"/>
      <c r="G65" s="269"/>
      <c r="H65" s="294"/>
      <c r="I65" s="295"/>
      <c r="J65" s="177"/>
      <c r="K65" s="80"/>
      <c r="L65" s="155"/>
    </row>
    <row r="66">
      <c r="A66" s="291" t="s">
        <v>48</v>
      </c>
      <c r="B66" s="159"/>
      <c r="C66" s="178"/>
      <c r="D66" s="179"/>
      <c r="E66" s="268"/>
      <c r="F66" s="163"/>
      <c r="G66" s="269"/>
      <c r="H66" s="294"/>
      <c r="I66" s="295"/>
      <c r="J66" s="177"/>
      <c r="K66" s="155"/>
      <c r="L66" s="155"/>
    </row>
    <row r="67">
      <c r="A67" s="291" t="s">
        <v>48</v>
      </c>
      <c r="B67" s="159"/>
      <c r="C67" s="178"/>
      <c r="D67" s="179"/>
      <c r="E67" s="268"/>
      <c r="F67" s="163"/>
      <c r="G67" s="269"/>
      <c r="H67" s="294"/>
      <c r="I67" s="295"/>
      <c r="J67" s="89"/>
      <c r="K67" s="141"/>
      <c r="L67" s="141"/>
      <c r="M67" s="147"/>
    </row>
    <row r="68">
      <c r="A68" s="291" t="s">
        <v>48</v>
      </c>
      <c r="B68" s="159"/>
      <c r="C68" s="178"/>
      <c r="D68" s="179"/>
      <c r="E68" s="268"/>
      <c r="F68" s="163"/>
      <c r="G68" s="269"/>
      <c r="H68" s="294"/>
      <c r="I68" s="295"/>
      <c r="J68" s="147"/>
      <c r="K68" s="147"/>
      <c r="L68" s="147"/>
      <c r="M68" s="147"/>
    </row>
    <row r="69">
      <c r="A69" s="291" t="s">
        <v>48</v>
      </c>
      <c r="B69" s="159"/>
      <c r="C69" s="178"/>
      <c r="D69" s="179"/>
      <c r="E69" s="268"/>
      <c r="F69" s="163"/>
      <c r="G69" s="163"/>
      <c r="H69" s="269"/>
      <c r="I69" s="176"/>
      <c r="J69" s="141"/>
      <c r="K69" s="141"/>
      <c r="L69" s="147"/>
      <c r="M69" s="147"/>
    </row>
    <row r="70">
      <c r="A70" s="291" t="s">
        <v>48</v>
      </c>
      <c r="B70" s="159"/>
      <c r="C70" s="178"/>
      <c r="D70" s="179"/>
      <c r="E70" s="268"/>
      <c r="F70" s="163"/>
      <c r="G70" s="163"/>
      <c r="H70" s="269"/>
      <c r="I70" s="176"/>
      <c r="J70" s="181"/>
      <c r="L70" s="156"/>
    </row>
    <row r="71">
      <c r="A71" s="291" t="s">
        <v>48</v>
      </c>
      <c r="B71" s="159"/>
      <c r="C71" s="178"/>
      <c r="D71" s="179"/>
      <c r="E71" s="268"/>
      <c r="F71" s="163"/>
      <c r="G71" s="163"/>
      <c r="H71" s="269"/>
      <c r="I71" s="176"/>
      <c r="J71" s="260"/>
      <c r="L71" s="177"/>
    </row>
    <row r="72">
      <c r="A72" s="291" t="s">
        <v>48</v>
      </c>
      <c r="B72" s="159"/>
      <c r="C72" s="178"/>
      <c r="D72" s="179"/>
      <c r="E72" s="268"/>
      <c r="F72" s="163"/>
      <c r="G72" s="163"/>
      <c r="H72" s="269"/>
      <c r="I72" s="176"/>
      <c r="J72" s="260"/>
      <c r="L72" s="177"/>
    </row>
    <row r="73">
      <c r="A73" s="291" t="s">
        <v>48</v>
      </c>
      <c r="B73" s="159"/>
      <c r="C73" s="178"/>
      <c r="D73" s="179"/>
      <c r="E73" s="268"/>
      <c r="F73" s="163"/>
      <c r="G73" s="163"/>
      <c r="H73" s="269"/>
      <c r="I73" s="176"/>
      <c r="J73" s="260"/>
      <c r="L73" s="177"/>
    </row>
    <row r="74">
      <c r="A74" s="291" t="s">
        <v>48</v>
      </c>
      <c r="B74" s="159"/>
      <c r="C74" s="178"/>
      <c r="D74" s="179"/>
      <c r="E74" s="268"/>
      <c r="F74" s="163"/>
      <c r="G74" s="163"/>
      <c r="H74" s="269"/>
      <c r="I74" s="176"/>
      <c r="J74" s="260"/>
      <c r="L74" s="177"/>
    </row>
    <row r="75">
      <c r="A75" s="291" t="s">
        <v>48</v>
      </c>
      <c r="B75" s="159"/>
      <c r="C75" s="178"/>
      <c r="D75" s="179"/>
      <c r="E75" s="268"/>
      <c r="F75" s="163"/>
      <c r="G75" s="163"/>
      <c r="H75" s="269"/>
      <c r="I75" s="176"/>
      <c r="J75" s="260"/>
      <c r="L75" s="177"/>
    </row>
    <row r="76">
      <c r="A76" s="291" t="s">
        <v>48</v>
      </c>
      <c r="B76" s="159"/>
      <c r="C76" s="178"/>
      <c r="D76" s="179"/>
      <c r="E76" s="268"/>
      <c r="F76" s="163"/>
      <c r="G76" s="163"/>
      <c r="H76" s="269"/>
      <c r="I76" s="176"/>
      <c r="J76" s="260"/>
      <c r="L76" s="177"/>
    </row>
    <row r="77">
      <c r="A77" s="291" t="s">
        <v>48</v>
      </c>
      <c r="B77" s="159"/>
      <c r="C77" s="178"/>
      <c r="D77" s="179"/>
      <c r="E77" s="268"/>
      <c r="F77" s="163"/>
      <c r="G77" s="163"/>
      <c r="H77" s="269"/>
      <c r="I77" s="176"/>
      <c r="J77" s="260"/>
      <c r="L77" s="177"/>
    </row>
    <row r="78">
      <c r="A78" s="291" t="s">
        <v>48</v>
      </c>
      <c r="B78" s="159"/>
      <c r="C78" s="178"/>
      <c r="D78" s="179"/>
      <c r="E78" s="268"/>
      <c r="F78" s="163"/>
      <c r="G78" s="163"/>
      <c r="H78" s="269"/>
      <c r="I78" s="176"/>
      <c r="J78" s="260"/>
      <c r="L78" s="177"/>
    </row>
    <row r="79">
      <c r="A79" s="291" t="s">
        <v>48</v>
      </c>
      <c r="B79" s="159"/>
      <c r="C79" s="178"/>
      <c r="D79" s="179"/>
      <c r="E79" s="268"/>
      <c r="F79" s="163"/>
      <c r="G79" s="163"/>
      <c r="H79" s="269"/>
      <c r="I79" s="176"/>
      <c r="J79" s="260"/>
      <c r="L79" s="177"/>
    </row>
    <row r="80">
      <c r="A80" s="291" t="s">
        <v>48</v>
      </c>
      <c r="B80" s="159"/>
      <c r="C80" s="178"/>
      <c r="D80" s="179"/>
      <c r="E80" s="268"/>
      <c r="F80" s="163"/>
      <c r="G80" s="163"/>
      <c r="H80" s="269"/>
      <c r="I80" s="176"/>
    </row>
    <row r="81">
      <c r="A81" s="291" t="s">
        <v>48</v>
      </c>
      <c r="B81" s="159"/>
      <c r="C81" s="178"/>
      <c r="D81" s="179"/>
      <c r="E81" s="268"/>
      <c r="F81" s="163"/>
      <c r="G81" s="163"/>
      <c r="H81" s="269"/>
      <c r="I81" s="176"/>
    </row>
    <row r="82">
      <c r="A82" s="291" t="s">
        <v>48</v>
      </c>
      <c r="B82" s="159"/>
      <c r="C82" s="178"/>
      <c r="D82" s="179"/>
      <c r="E82" s="268"/>
      <c r="F82" s="163"/>
      <c r="G82" s="163"/>
      <c r="H82" s="269"/>
      <c r="I82" s="176"/>
    </row>
    <row r="83">
      <c r="A83" s="291" t="s">
        <v>48</v>
      </c>
      <c r="B83" s="159"/>
      <c r="C83" s="178"/>
      <c r="D83" s="179"/>
      <c r="E83" s="268"/>
      <c r="F83" s="163"/>
      <c r="G83" s="163"/>
      <c r="H83" s="269"/>
      <c r="I83" s="176"/>
    </row>
    <row r="84">
      <c r="A84" s="291" t="s">
        <v>48</v>
      </c>
      <c r="B84" s="159"/>
      <c r="C84" s="178"/>
      <c r="D84" s="179"/>
      <c r="E84" s="268"/>
      <c r="F84" s="163"/>
      <c r="G84" s="163"/>
      <c r="H84" s="269"/>
      <c r="I84" s="176"/>
    </row>
    <row r="85">
      <c r="A85" s="297" t="s">
        <v>48</v>
      </c>
      <c r="B85" s="193"/>
      <c r="C85" s="194"/>
      <c r="D85" s="195"/>
      <c r="E85" s="270"/>
      <c r="F85" s="197"/>
      <c r="G85" s="197"/>
      <c r="H85" s="298"/>
      <c r="I85" s="299"/>
    </row>
    <row r="86">
      <c r="B86" s="198"/>
      <c r="C86" s="199"/>
      <c r="D86" s="200"/>
      <c r="E86" s="272"/>
      <c r="F86" s="141"/>
      <c r="G86" s="141"/>
      <c r="H86" s="155"/>
    </row>
    <row r="87">
      <c r="A87" s="286" t="s">
        <v>49</v>
      </c>
      <c r="B87" s="187" t="s">
        <v>86</v>
      </c>
      <c r="C87" s="188">
        <v>43901.0</v>
      </c>
      <c r="D87" s="189" t="s">
        <v>338</v>
      </c>
      <c r="E87" s="282">
        <v>200.0</v>
      </c>
      <c r="F87" s="153" t="s">
        <v>14</v>
      </c>
      <c r="G87" s="153" t="s">
        <v>28</v>
      </c>
      <c r="H87" s="153" t="s">
        <v>16</v>
      </c>
      <c r="I87" s="191" t="s">
        <v>30</v>
      </c>
    </row>
    <row r="88">
      <c r="A88" s="291" t="s">
        <v>49</v>
      </c>
      <c r="B88" s="159" t="s">
        <v>86</v>
      </c>
      <c r="C88" s="178">
        <v>43894.0</v>
      </c>
      <c r="D88" s="179" t="s">
        <v>86</v>
      </c>
      <c r="E88" s="283">
        <v>420.54</v>
      </c>
      <c r="F88" s="163" t="s">
        <v>26</v>
      </c>
      <c r="G88" s="163" t="s">
        <v>14</v>
      </c>
      <c r="H88" s="292" t="s">
        <v>27</v>
      </c>
      <c r="I88" s="293" t="s">
        <v>16</v>
      </c>
      <c r="K88" s="182"/>
    </row>
    <row r="89">
      <c r="A89" s="291" t="s">
        <v>49</v>
      </c>
      <c r="B89" s="159" t="s">
        <v>79</v>
      </c>
      <c r="C89" s="178">
        <v>43900.0</v>
      </c>
      <c r="D89" s="179" t="s">
        <v>79</v>
      </c>
      <c r="E89" s="283">
        <v>50.0</v>
      </c>
      <c r="F89" s="163" t="s">
        <v>26</v>
      </c>
      <c r="G89" s="163" t="s">
        <v>22</v>
      </c>
      <c r="H89" s="292" t="s">
        <v>27</v>
      </c>
      <c r="I89" s="293" t="s">
        <v>24</v>
      </c>
      <c r="K89" s="169"/>
      <c r="N89" s="156"/>
    </row>
    <row r="90">
      <c r="A90" s="291" t="s">
        <v>49</v>
      </c>
      <c r="B90" s="159" t="s">
        <v>86</v>
      </c>
      <c r="C90" s="178">
        <v>43900.0</v>
      </c>
      <c r="D90" s="179" t="s">
        <v>86</v>
      </c>
      <c r="E90" s="283">
        <v>61.5</v>
      </c>
      <c r="F90" s="163" t="s">
        <v>26</v>
      </c>
      <c r="G90" s="163" t="s">
        <v>14</v>
      </c>
      <c r="H90" s="292" t="s">
        <v>27</v>
      </c>
      <c r="I90" s="293" t="s">
        <v>16</v>
      </c>
      <c r="K90" s="192"/>
    </row>
    <row r="91">
      <c r="A91" s="291" t="s">
        <v>49</v>
      </c>
      <c r="B91" s="159" t="s">
        <v>86</v>
      </c>
      <c r="C91" s="178">
        <v>43903.0</v>
      </c>
      <c r="D91" s="179" t="s">
        <v>86</v>
      </c>
      <c r="E91" s="283">
        <v>100.0</v>
      </c>
      <c r="F91" s="163" t="s">
        <v>14</v>
      </c>
      <c r="G91" s="163" t="s">
        <v>26</v>
      </c>
      <c r="H91" s="292" t="s">
        <v>16</v>
      </c>
      <c r="I91" s="293" t="s">
        <v>27</v>
      </c>
      <c r="K91" s="182"/>
    </row>
    <row r="92">
      <c r="A92" s="291" t="s">
        <v>49</v>
      </c>
      <c r="B92" s="159" t="s">
        <v>86</v>
      </c>
      <c r="C92" s="178">
        <v>43914.0</v>
      </c>
      <c r="D92" s="179" t="s">
        <v>86</v>
      </c>
      <c r="E92" s="283">
        <v>120.65</v>
      </c>
      <c r="F92" s="163" t="s">
        <v>26</v>
      </c>
      <c r="G92" s="163" t="s">
        <v>14</v>
      </c>
      <c r="H92" s="292" t="s">
        <v>27</v>
      </c>
      <c r="I92" s="293" t="s">
        <v>16</v>
      </c>
      <c r="K92" s="182"/>
    </row>
    <row r="93">
      <c r="A93" s="291" t="s">
        <v>49</v>
      </c>
      <c r="B93" s="159"/>
      <c r="C93" s="178"/>
      <c r="D93" s="179"/>
      <c r="E93" s="268"/>
      <c r="F93" s="163"/>
      <c r="G93" s="163"/>
      <c r="H93" s="294"/>
      <c r="I93" s="295"/>
      <c r="J93" s="141"/>
      <c r="K93" s="182"/>
    </row>
    <row r="94">
      <c r="A94" s="291" t="s">
        <v>49</v>
      </c>
      <c r="B94" s="159"/>
      <c r="C94" s="178"/>
      <c r="D94" s="179"/>
      <c r="E94" s="268"/>
      <c r="F94" s="163"/>
      <c r="G94" s="269"/>
      <c r="H94" s="294"/>
      <c r="I94" s="295"/>
      <c r="J94" s="141"/>
      <c r="K94" s="182"/>
    </row>
    <row r="95">
      <c r="A95" s="291" t="s">
        <v>49</v>
      </c>
      <c r="B95" s="159"/>
      <c r="C95" s="178"/>
      <c r="D95" s="179"/>
      <c r="E95" s="268"/>
      <c r="F95" s="163"/>
      <c r="G95" s="269"/>
      <c r="H95" s="294"/>
      <c r="I95" s="295"/>
      <c r="J95" s="141"/>
    </row>
    <row r="96">
      <c r="A96" s="291" t="s">
        <v>49</v>
      </c>
      <c r="B96" s="159"/>
      <c r="C96" s="178"/>
      <c r="D96" s="179"/>
      <c r="E96" s="268"/>
      <c r="F96" s="163"/>
      <c r="G96" s="269"/>
      <c r="H96" s="294"/>
      <c r="I96" s="295"/>
      <c r="J96" s="260"/>
      <c r="K96" s="182"/>
    </row>
    <row r="97">
      <c r="A97" s="291" t="s">
        <v>49</v>
      </c>
      <c r="B97" s="159"/>
      <c r="C97" s="178"/>
      <c r="D97" s="179"/>
      <c r="E97" s="268"/>
      <c r="F97" s="163"/>
      <c r="G97" s="269"/>
      <c r="H97" s="294"/>
      <c r="I97" s="295"/>
      <c r="J97" s="260"/>
      <c r="K97" s="182"/>
    </row>
    <row r="98">
      <c r="A98" s="291" t="s">
        <v>49</v>
      </c>
      <c r="B98" s="159"/>
      <c r="C98" s="178"/>
      <c r="D98" s="179"/>
      <c r="E98" s="268"/>
      <c r="F98" s="163"/>
      <c r="G98" s="269"/>
      <c r="H98" s="294"/>
      <c r="I98" s="295"/>
      <c r="J98" s="260"/>
      <c r="L98" s="177"/>
    </row>
    <row r="99">
      <c r="A99" s="291" t="s">
        <v>49</v>
      </c>
      <c r="B99" s="159"/>
      <c r="C99" s="178"/>
      <c r="D99" s="179"/>
      <c r="E99" s="268"/>
      <c r="F99" s="163"/>
      <c r="G99" s="269"/>
      <c r="H99" s="294"/>
      <c r="I99" s="295"/>
      <c r="J99" s="260"/>
      <c r="L99" s="177"/>
    </row>
    <row r="100">
      <c r="A100" s="291" t="s">
        <v>49</v>
      </c>
      <c r="B100" s="159"/>
      <c r="C100" s="178"/>
      <c r="D100" s="179"/>
      <c r="E100" s="268"/>
      <c r="F100" s="163"/>
      <c r="G100" s="269"/>
      <c r="H100" s="294"/>
      <c r="I100" s="295"/>
      <c r="J100" s="260"/>
      <c r="L100" s="177"/>
    </row>
    <row r="101">
      <c r="A101" s="291" t="s">
        <v>49</v>
      </c>
      <c r="B101" s="159"/>
      <c r="C101" s="178"/>
      <c r="D101" s="179"/>
      <c r="E101" s="268"/>
      <c r="F101" s="163"/>
      <c r="G101" s="269"/>
      <c r="H101" s="294"/>
      <c r="I101" s="295"/>
      <c r="J101" s="260"/>
      <c r="L101" s="177"/>
    </row>
    <row r="102">
      <c r="A102" s="291" t="s">
        <v>49</v>
      </c>
      <c r="B102" s="159"/>
      <c r="C102" s="178"/>
      <c r="D102" s="179"/>
      <c r="E102" s="268"/>
      <c r="F102" s="163"/>
      <c r="G102" s="269"/>
      <c r="H102" s="294"/>
      <c r="I102" s="295"/>
      <c r="J102" s="260"/>
      <c r="L102" s="177"/>
    </row>
    <row r="103">
      <c r="A103" s="291" t="s">
        <v>49</v>
      </c>
      <c r="B103" s="159"/>
      <c r="C103" s="178"/>
      <c r="D103" s="179"/>
      <c r="E103" s="268"/>
      <c r="F103" s="163"/>
      <c r="G103" s="269"/>
      <c r="H103" s="294"/>
      <c r="I103" s="295"/>
      <c r="J103" s="260"/>
      <c r="L103" s="177"/>
    </row>
    <row r="104">
      <c r="A104" s="291" t="s">
        <v>49</v>
      </c>
      <c r="B104" s="159"/>
      <c r="C104" s="178"/>
      <c r="D104" s="179"/>
      <c r="E104" s="268"/>
      <c r="F104" s="163"/>
      <c r="G104" s="269"/>
      <c r="H104" s="294"/>
      <c r="I104" s="295"/>
      <c r="J104" s="260"/>
      <c r="L104" s="177"/>
    </row>
    <row r="105">
      <c r="A105" s="291" t="s">
        <v>49</v>
      </c>
      <c r="B105" s="159"/>
      <c r="C105" s="178"/>
      <c r="D105" s="179"/>
      <c r="E105" s="268"/>
      <c r="F105" s="163"/>
      <c r="G105" s="269"/>
      <c r="H105" s="294"/>
      <c r="I105" s="295"/>
      <c r="J105" s="260"/>
      <c r="L105" s="177"/>
    </row>
    <row r="106">
      <c r="A106" s="291" t="s">
        <v>49</v>
      </c>
      <c r="B106" s="159"/>
      <c r="C106" s="178"/>
      <c r="D106" s="179"/>
      <c r="E106" s="268"/>
      <c r="F106" s="163"/>
      <c r="G106" s="269"/>
      <c r="H106" s="294"/>
      <c r="I106" s="295"/>
    </row>
    <row r="107">
      <c r="A107" s="291" t="s">
        <v>49</v>
      </c>
      <c r="B107" s="159"/>
      <c r="C107" s="178"/>
      <c r="D107" s="179"/>
      <c r="E107" s="268"/>
      <c r="F107" s="163"/>
      <c r="G107" s="269"/>
      <c r="H107" s="294"/>
      <c r="I107" s="295"/>
    </row>
    <row r="108">
      <c r="A108" s="291" t="s">
        <v>49</v>
      </c>
      <c r="B108" s="159"/>
      <c r="C108" s="178"/>
      <c r="D108" s="179"/>
      <c r="E108" s="268"/>
      <c r="F108" s="163"/>
      <c r="G108" s="269"/>
      <c r="H108" s="294"/>
      <c r="I108" s="295"/>
    </row>
    <row r="109">
      <c r="A109" s="291" t="s">
        <v>49</v>
      </c>
      <c r="B109" s="159"/>
      <c r="C109" s="178"/>
      <c r="D109" s="179"/>
      <c r="E109" s="268"/>
      <c r="F109" s="163"/>
      <c r="G109" s="269"/>
      <c r="H109" s="294"/>
      <c r="I109" s="295"/>
    </row>
    <row r="110">
      <c r="A110" s="291" t="s">
        <v>49</v>
      </c>
      <c r="B110" s="159"/>
      <c r="C110" s="178"/>
      <c r="D110" s="179"/>
      <c r="E110" s="268"/>
      <c r="F110" s="163"/>
      <c r="G110" s="269"/>
      <c r="H110" s="294"/>
      <c r="I110" s="295"/>
    </row>
    <row r="111">
      <c r="A111" s="291" t="s">
        <v>49</v>
      </c>
      <c r="B111" s="159"/>
      <c r="C111" s="178"/>
      <c r="D111" s="179"/>
      <c r="E111" s="268"/>
      <c r="F111" s="163"/>
      <c r="G111" s="163"/>
      <c r="H111" s="269"/>
      <c r="I111" s="176"/>
    </row>
    <row r="112">
      <c r="A112" s="291" t="s">
        <v>49</v>
      </c>
      <c r="B112" s="159"/>
      <c r="C112" s="178"/>
      <c r="D112" s="179"/>
      <c r="E112" s="268"/>
      <c r="F112" s="163"/>
      <c r="G112" s="163"/>
      <c r="H112" s="269"/>
      <c r="I112" s="176"/>
    </row>
    <row r="113">
      <c r="A113" s="291" t="s">
        <v>49</v>
      </c>
      <c r="B113" s="159"/>
      <c r="C113" s="178"/>
      <c r="D113" s="179"/>
      <c r="E113" s="268"/>
      <c r="F113" s="163"/>
      <c r="G113" s="163"/>
      <c r="H113" s="269"/>
      <c r="I113" s="176"/>
    </row>
    <row r="114">
      <c r="A114" s="291" t="s">
        <v>49</v>
      </c>
      <c r="B114" s="159"/>
      <c r="C114" s="178"/>
      <c r="D114" s="179"/>
      <c r="E114" s="268"/>
      <c r="F114" s="163"/>
      <c r="G114" s="163"/>
      <c r="H114" s="269"/>
      <c r="I114" s="176"/>
    </row>
    <row r="115">
      <c r="A115" s="291" t="s">
        <v>49</v>
      </c>
      <c r="B115" s="159"/>
      <c r="C115" s="178"/>
      <c r="D115" s="179"/>
      <c r="E115" s="268"/>
      <c r="F115" s="163"/>
      <c r="G115" s="163"/>
      <c r="H115" s="269"/>
      <c r="I115" s="176"/>
    </row>
    <row r="116">
      <c r="A116" s="291" t="s">
        <v>49</v>
      </c>
      <c r="B116" s="159"/>
      <c r="C116" s="178"/>
      <c r="D116" s="179"/>
      <c r="E116" s="268"/>
      <c r="F116" s="163"/>
      <c r="G116" s="163"/>
      <c r="H116" s="269"/>
      <c r="I116" s="176"/>
    </row>
    <row r="117">
      <c r="A117" s="291" t="s">
        <v>49</v>
      </c>
      <c r="B117" s="159"/>
      <c r="C117" s="178"/>
      <c r="D117" s="179"/>
      <c r="E117" s="268"/>
      <c r="F117" s="163"/>
      <c r="G117" s="163"/>
      <c r="H117" s="269"/>
      <c r="I117" s="176"/>
    </row>
    <row r="118">
      <c r="A118" s="291" t="s">
        <v>49</v>
      </c>
      <c r="B118" s="159"/>
      <c r="C118" s="178"/>
      <c r="D118" s="179"/>
      <c r="E118" s="268"/>
      <c r="F118" s="163"/>
      <c r="G118" s="163"/>
      <c r="H118" s="269"/>
      <c r="I118" s="176"/>
    </row>
    <row r="119">
      <c r="A119" s="291" t="s">
        <v>49</v>
      </c>
      <c r="B119" s="159"/>
      <c r="C119" s="178"/>
      <c r="D119" s="179"/>
      <c r="E119" s="268"/>
      <c r="F119" s="163"/>
      <c r="G119" s="163"/>
      <c r="H119" s="269"/>
      <c r="I119" s="176"/>
    </row>
    <row r="120">
      <c r="A120" s="291" t="s">
        <v>49</v>
      </c>
      <c r="B120" s="159"/>
      <c r="C120" s="178"/>
      <c r="D120" s="179"/>
      <c r="E120" s="268"/>
      <c r="F120" s="163"/>
      <c r="G120" s="163"/>
      <c r="H120" s="269"/>
      <c r="I120" s="176"/>
    </row>
    <row r="121">
      <c r="A121" s="291" t="s">
        <v>49</v>
      </c>
      <c r="B121" s="159"/>
      <c r="C121" s="178"/>
      <c r="D121" s="179"/>
      <c r="E121" s="268"/>
      <c r="F121" s="163"/>
      <c r="G121" s="163"/>
      <c r="H121" s="269"/>
      <c r="I121" s="176"/>
    </row>
    <row r="122">
      <c r="A122" s="291" t="s">
        <v>49</v>
      </c>
      <c r="B122" s="159"/>
      <c r="C122" s="178"/>
      <c r="D122" s="179"/>
      <c r="E122" s="268"/>
      <c r="F122" s="163"/>
      <c r="G122" s="163"/>
      <c r="H122" s="269"/>
      <c r="I122" s="176"/>
    </row>
    <row r="123">
      <c r="A123" s="291" t="s">
        <v>49</v>
      </c>
      <c r="B123" s="159"/>
      <c r="C123" s="178"/>
      <c r="D123" s="179"/>
      <c r="E123" s="268"/>
      <c r="F123" s="163"/>
      <c r="G123" s="163"/>
      <c r="H123" s="269"/>
      <c r="I123" s="176"/>
    </row>
    <row r="124">
      <c r="A124" s="291" t="s">
        <v>49</v>
      </c>
      <c r="B124" s="159"/>
      <c r="C124" s="178"/>
      <c r="D124" s="179"/>
      <c r="E124" s="268"/>
      <c r="F124" s="163"/>
      <c r="G124" s="163"/>
      <c r="H124" s="269"/>
      <c r="I124" s="176"/>
    </row>
    <row r="125">
      <c r="A125" s="291" t="s">
        <v>49</v>
      </c>
      <c r="B125" s="159"/>
      <c r="C125" s="178"/>
      <c r="D125" s="179"/>
      <c r="E125" s="268"/>
      <c r="F125" s="163"/>
      <c r="G125" s="163"/>
      <c r="H125" s="269"/>
      <c r="I125" s="176"/>
    </row>
    <row r="126">
      <c r="A126" s="291" t="s">
        <v>49</v>
      </c>
      <c r="B126" s="159"/>
      <c r="C126" s="178"/>
      <c r="D126" s="179"/>
      <c r="E126" s="268"/>
      <c r="F126" s="163"/>
      <c r="G126" s="163"/>
      <c r="H126" s="269"/>
      <c r="I126" s="176"/>
    </row>
    <row r="127">
      <c r="A127" s="297" t="s">
        <v>49</v>
      </c>
      <c r="B127" s="193"/>
      <c r="C127" s="194"/>
      <c r="D127" s="195"/>
      <c r="E127" s="270"/>
      <c r="F127" s="197"/>
      <c r="G127" s="197"/>
      <c r="H127" s="298"/>
      <c r="I127" s="299"/>
    </row>
    <row r="128">
      <c r="B128" s="198"/>
      <c r="C128" s="199"/>
      <c r="D128" s="200"/>
      <c r="E128" s="272"/>
      <c r="F128" s="141"/>
      <c r="G128" s="141"/>
      <c r="H128" s="155"/>
    </row>
    <row r="129">
      <c r="A129" s="286" t="s">
        <v>50</v>
      </c>
      <c r="B129" s="187" t="s">
        <v>86</v>
      </c>
      <c r="C129" s="188">
        <v>43922.0</v>
      </c>
      <c r="D129" s="189" t="s">
        <v>86</v>
      </c>
      <c r="E129" s="261">
        <v>120.0</v>
      </c>
      <c r="F129" s="153" t="s">
        <v>26</v>
      </c>
      <c r="G129" s="153" t="s">
        <v>14</v>
      </c>
      <c r="H129" s="153" t="s">
        <v>27</v>
      </c>
      <c r="I129" s="191" t="s">
        <v>16</v>
      </c>
    </row>
    <row r="130">
      <c r="A130" s="291" t="s">
        <v>50</v>
      </c>
      <c r="B130" s="159" t="s">
        <v>86</v>
      </c>
      <c r="C130" s="178">
        <v>43928.0</v>
      </c>
      <c r="D130" s="179" t="s">
        <v>86</v>
      </c>
      <c r="E130" s="268">
        <v>205.0</v>
      </c>
      <c r="F130" s="163" t="s">
        <v>26</v>
      </c>
      <c r="G130" s="163" t="s">
        <v>14</v>
      </c>
      <c r="H130" s="292" t="s">
        <v>27</v>
      </c>
      <c r="I130" s="293" t="s">
        <v>16</v>
      </c>
    </row>
    <row r="131">
      <c r="A131" s="291" t="s">
        <v>50</v>
      </c>
      <c r="B131" s="159" t="s">
        <v>86</v>
      </c>
      <c r="C131" s="178">
        <v>43931.0</v>
      </c>
      <c r="D131" s="179" t="s">
        <v>86</v>
      </c>
      <c r="E131" s="268">
        <v>63.0</v>
      </c>
      <c r="F131" s="163" t="s">
        <v>26</v>
      </c>
      <c r="G131" s="163" t="s">
        <v>14</v>
      </c>
      <c r="H131" s="292" t="s">
        <v>27</v>
      </c>
      <c r="I131" s="293" t="s">
        <v>16</v>
      </c>
    </row>
    <row r="132">
      <c r="A132" s="291" t="s">
        <v>50</v>
      </c>
      <c r="B132" s="159" t="s">
        <v>86</v>
      </c>
      <c r="C132" s="178">
        <v>43934.0</v>
      </c>
      <c r="D132" s="179" t="s">
        <v>86</v>
      </c>
      <c r="E132" s="268">
        <v>120.0</v>
      </c>
      <c r="F132" s="163" t="s">
        <v>26</v>
      </c>
      <c r="G132" s="163" t="s">
        <v>14</v>
      </c>
      <c r="H132" s="292" t="s">
        <v>27</v>
      </c>
      <c r="I132" s="293" t="s">
        <v>16</v>
      </c>
    </row>
    <row r="133">
      <c r="A133" s="291" t="s">
        <v>50</v>
      </c>
      <c r="B133" s="159" t="s">
        <v>86</v>
      </c>
      <c r="C133" s="178">
        <v>43934.0</v>
      </c>
      <c r="D133" s="179" t="s">
        <v>86</v>
      </c>
      <c r="E133" s="268">
        <v>113.74</v>
      </c>
      <c r="F133" s="163" t="s">
        <v>14</v>
      </c>
      <c r="G133" s="163" t="s">
        <v>26</v>
      </c>
      <c r="H133" s="292" t="s">
        <v>16</v>
      </c>
      <c r="I133" s="293" t="s">
        <v>27</v>
      </c>
    </row>
    <row r="134">
      <c r="A134" s="291" t="s">
        <v>50</v>
      </c>
      <c r="B134" s="159"/>
      <c r="C134" s="178"/>
      <c r="D134" s="179"/>
      <c r="E134" s="268"/>
      <c r="F134" s="163"/>
      <c r="G134" s="163"/>
      <c r="H134" s="292"/>
      <c r="I134" s="293"/>
    </row>
    <row r="135">
      <c r="A135" s="291" t="s">
        <v>50</v>
      </c>
      <c r="B135" s="159"/>
      <c r="C135" s="178"/>
      <c r="D135" s="179"/>
      <c r="E135" s="268"/>
      <c r="F135" s="163"/>
      <c r="G135" s="269"/>
      <c r="H135" s="294"/>
      <c r="I135" s="295"/>
    </row>
    <row r="136">
      <c r="A136" s="291" t="s">
        <v>50</v>
      </c>
      <c r="B136" s="159"/>
      <c r="C136" s="178"/>
      <c r="D136" s="179"/>
      <c r="E136" s="268"/>
      <c r="F136" s="163"/>
      <c r="G136" s="269"/>
      <c r="H136" s="294"/>
      <c r="I136" s="295"/>
    </row>
    <row r="137">
      <c r="A137" s="291" t="s">
        <v>50</v>
      </c>
      <c r="B137" s="159"/>
      <c r="C137" s="178"/>
      <c r="D137" s="179"/>
      <c r="E137" s="268"/>
      <c r="F137" s="163"/>
      <c r="G137" s="269"/>
      <c r="H137" s="294"/>
      <c r="I137" s="295"/>
    </row>
    <row r="138">
      <c r="A138" s="291" t="s">
        <v>50</v>
      </c>
      <c r="B138" s="159"/>
      <c r="C138" s="178"/>
      <c r="D138" s="179"/>
      <c r="E138" s="268"/>
      <c r="F138" s="163"/>
      <c r="G138" s="269"/>
      <c r="H138" s="294"/>
      <c r="I138" s="295"/>
    </row>
    <row r="139">
      <c r="A139" s="291" t="s">
        <v>50</v>
      </c>
      <c r="B139" s="159"/>
      <c r="C139" s="178"/>
      <c r="D139" s="179"/>
      <c r="E139" s="268"/>
      <c r="F139" s="163"/>
      <c r="G139" s="269"/>
      <c r="H139" s="294"/>
      <c r="I139" s="295"/>
    </row>
    <row r="140">
      <c r="A140" s="291" t="s">
        <v>50</v>
      </c>
      <c r="B140" s="159"/>
      <c r="C140" s="178"/>
      <c r="D140" s="179"/>
      <c r="E140" s="268"/>
      <c r="F140" s="163"/>
      <c r="G140" s="269"/>
      <c r="H140" s="294"/>
      <c r="I140" s="295"/>
    </row>
    <row r="141">
      <c r="A141" s="291" t="s">
        <v>50</v>
      </c>
      <c r="B141" s="159"/>
      <c r="C141" s="178"/>
      <c r="D141" s="179"/>
      <c r="E141" s="268"/>
      <c r="F141" s="163"/>
      <c r="G141" s="269"/>
      <c r="H141" s="294"/>
      <c r="I141" s="295"/>
    </row>
    <row r="142">
      <c r="A142" s="291" t="s">
        <v>50</v>
      </c>
      <c r="B142" s="159"/>
      <c r="C142" s="178"/>
      <c r="D142" s="179"/>
      <c r="E142" s="268"/>
      <c r="F142" s="163"/>
      <c r="G142" s="269"/>
      <c r="H142" s="294"/>
      <c r="I142" s="295"/>
    </row>
    <row r="143">
      <c r="A143" s="291" t="s">
        <v>50</v>
      </c>
      <c r="B143" s="159"/>
      <c r="C143" s="178"/>
      <c r="D143" s="179"/>
      <c r="E143" s="268"/>
      <c r="F143" s="163"/>
      <c r="G143" s="269"/>
      <c r="H143" s="294"/>
      <c r="I143" s="295"/>
    </row>
    <row r="144">
      <c r="A144" s="291" t="s">
        <v>50</v>
      </c>
      <c r="B144" s="159"/>
      <c r="C144" s="178"/>
      <c r="D144" s="179"/>
      <c r="E144" s="268"/>
      <c r="F144" s="163"/>
      <c r="G144" s="269"/>
      <c r="H144" s="294"/>
      <c r="I144" s="295"/>
    </row>
    <row r="145">
      <c r="A145" s="291" t="s">
        <v>50</v>
      </c>
      <c r="B145" s="159"/>
      <c r="C145" s="178"/>
      <c r="D145" s="179"/>
      <c r="E145" s="268"/>
      <c r="F145" s="163"/>
      <c r="G145" s="269"/>
      <c r="H145" s="294"/>
      <c r="I145" s="295"/>
    </row>
    <row r="146">
      <c r="A146" s="291" t="s">
        <v>50</v>
      </c>
      <c r="B146" s="159"/>
      <c r="C146" s="178"/>
      <c r="D146" s="179"/>
      <c r="E146" s="268"/>
      <c r="F146" s="163"/>
      <c r="G146" s="269"/>
      <c r="H146" s="294"/>
      <c r="I146" s="295"/>
    </row>
    <row r="147">
      <c r="A147" s="291" t="s">
        <v>50</v>
      </c>
      <c r="B147" s="159"/>
      <c r="C147" s="178"/>
      <c r="D147" s="179"/>
      <c r="E147" s="268"/>
      <c r="F147" s="163"/>
      <c r="G147" s="269"/>
      <c r="H147" s="294"/>
      <c r="I147" s="295"/>
    </row>
    <row r="148">
      <c r="A148" s="291" t="s">
        <v>50</v>
      </c>
      <c r="B148" s="159"/>
      <c r="C148" s="178"/>
      <c r="D148" s="179"/>
      <c r="E148" s="268"/>
      <c r="F148" s="163"/>
      <c r="G148" s="269"/>
      <c r="H148" s="294"/>
      <c r="I148" s="295"/>
    </row>
    <row r="149">
      <c r="A149" s="291" t="s">
        <v>50</v>
      </c>
      <c r="B149" s="159"/>
      <c r="C149" s="178"/>
      <c r="D149" s="179"/>
      <c r="E149" s="268"/>
      <c r="F149" s="163"/>
      <c r="G149" s="269"/>
      <c r="H149" s="294"/>
      <c r="I149" s="295"/>
    </row>
    <row r="150">
      <c r="A150" s="291" t="s">
        <v>50</v>
      </c>
      <c r="B150" s="159"/>
      <c r="C150" s="178"/>
      <c r="D150" s="179"/>
      <c r="E150" s="268"/>
      <c r="F150" s="163"/>
      <c r="G150" s="269"/>
      <c r="H150" s="294"/>
      <c r="I150" s="295"/>
    </row>
    <row r="151">
      <c r="A151" s="291" t="s">
        <v>50</v>
      </c>
      <c r="B151" s="159"/>
      <c r="C151" s="178"/>
      <c r="D151" s="179"/>
      <c r="E151" s="268"/>
      <c r="F151" s="163"/>
      <c r="G151" s="269"/>
      <c r="H151" s="294"/>
      <c r="I151" s="295"/>
    </row>
    <row r="152">
      <c r="A152" s="291" t="s">
        <v>50</v>
      </c>
      <c r="B152" s="159"/>
      <c r="C152" s="178"/>
      <c r="D152" s="179"/>
      <c r="E152" s="268"/>
      <c r="F152" s="163"/>
      <c r="G152" s="269"/>
      <c r="H152" s="294"/>
      <c r="I152" s="295"/>
    </row>
    <row r="153">
      <c r="A153" s="291" t="s">
        <v>50</v>
      </c>
      <c r="B153" s="159"/>
      <c r="C153" s="178"/>
      <c r="D153" s="179"/>
      <c r="E153" s="268"/>
      <c r="F153" s="163"/>
      <c r="G153" s="163"/>
      <c r="H153" s="269"/>
      <c r="I153" s="176"/>
    </row>
    <row r="154">
      <c r="A154" s="291" t="s">
        <v>50</v>
      </c>
      <c r="B154" s="159"/>
      <c r="C154" s="178"/>
      <c r="D154" s="179"/>
      <c r="E154" s="268"/>
      <c r="F154" s="163"/>
      <c r="G154" s="163"/>
      <c r="H154" s="269"/>
      <c r="I154" s="176"/>
    </row>
    <row r="155">
      <c r="A155" s="291" t="s">
        <v>50</v>
      </c>
      <c r="B155" s="159"/>
      <c r="C155" s="178"/>
      <c r="D155" s="179"/>
      <c r="E155" s="268"/>
      <c r="F155" s="163"/>
      <c r="G155" s="163"/>
      <c r="H155" s="269"/>
      <c r="I155" s="176"/>
    </row>
    <row r="156">
      <c r="A156" s="291" t="s">
        <v>50</v>
      </c>
      <c r="B156" s="159"/>
      <c r="C156" s="178"/>
      <c r="D156" s="179"/>
      <c r="E156" s="268"/>
      <c r="F156" s="163"/>
      <c r="G156" s="163"/>
      <c r="H156" s="269"/>
      <c r="I156" s="176"/>
    </row>
    <row r="157">
      <c r="A157" s="291" t="s">
        <v>50</v>
      </c>
      <c r="B157" s="159"/>
      <c r="C157" s="178"/>
      <c r="D157" s="179"/>
      <c r="E157" s="268"/>
      <c r="F157" s="163"/>
      <c r="G157" s="163"/>
      <c r="H157" s="269"/>
      <c r="I157" s="176"/>
    </row>
    <row r="158">
      <c r="A158" s="291" t="s">
        <v>50</v>
      </c>
      <c r="B158" s="159"/>
      <c r="C158" s="178"/>
      <c r="D158" s="179"/>
      <c r="E158" s="268"/>
      <c r="F158" s="163"/>
      <c r="G158" s="163"/>
      <c r="H158" s="269"/>
      <c r="I158" s="176"/>
    </row>
    <row r="159">
      <c r="A159" s="291" t="s">
        <v>50</v>
      </c>
      <c r="B159" s="159"/>
      <c r="C159" s="178"/>
      <c r="D159" s="179"/>
      <c r="E159" s="268"/>
      <c r="F159" s="163"/>
      <c r="G159" s="163"/>
      <c r="H159" s="269"/>
      <c r="I159" s="176"/>
    </row>
    <row r="160">
      <c r="A160" s="291" t="s">
        <v>50</v>
      </c>
      <c r="B160" s="159"/>
      <c r="C160" s="178"/>
      <c r="D160" s="179"/>
      <c r="E160" s="268"/>
      <c r="F160" s="163"/>
      <c r="G160" s="163"/>
      <c r="H160" s="269"/>
      <c r="I160" s="176"/>
    </row>
    <row r="161">
      <c r="A161" s="291" t="s">
        <v>50</v>
      </c>
      <c r="B161" s="159"/>
      <c r="C161" s="178"/>
      <c r="D161" s="179"/>
      <c r="E161" s="268"/>
      <c r="F161" s="163"/>
      <c r="G161" s="163"/>
      <c r="H161" s="269"/>
      <c r="I161" s="176"/>
    </row>
    <row r="162">
      <c r="A162" s="291" t="s">
        <v>50</v>
      </c>
      <c r="B162" s="159"/>
      <c r="C162" s="178"/>
      <c r="D162" s="179"/>
      <c r="E162" s="268"/>
      <c r="F162" s="163"/>
      <c r="G162" s="163"/>
      <c r="H162" s="269"/>
      <c r="I162" s="176"/>
    </row>
    <row r="163">
      <c r="A163" s="291" t="s">
        <v>50</v>
      </c>
      <c r="B163" s="159"/>
      <c r="C163" s="178"/>
      <c r="D163" s="179"/>
      <c r="E163" s="268"/>
      <c r="F163" s="163"/>
      <c r="G163" s="163"/>
      <c r="H163" s="269"/>
      <c r="I163" s="176"/>
    </row>
    <row r="164">
      <c r="A164" s="291" t="s">
        <v>50</v>
      </c>
      <c r="B164" s="159"/>
      <c r="C164" s="178"/>
      <c r="D164" s="179"/>
      <c r="E164" s="268"/>
      <c r="F164" s="163"/>
      <c r="G164" s="163"/>
      <c r="H164" s="269"/>
      <c r="I164" s="176"/>
    </row>
    <row r="165">
      <c r="A165" s="291" t="s">
        <v>50</v>
      </c>
      <c r="B165" s="159"/>
      <c r="C165" s="178"/>
      <c r="D165" s="179"/>
      <c r="E165" s="268"/>
      <c r="F165" s="163"/>
      <c r="G165" s="163"/>
      <c r="H165" s="269"/>
      <c r="I165" s="176"/>
    </row>
    <row r="166">
      <c r="A166" s="291" t="s">
        <v>50</v>
      </c>
      <c r="B166" s="159"/>
      <c r="C166" s="178"/>
      <c r="D166" s="179"/>
      <c r="E166" s="268"/>
      <c r="F166" s="163"/>
      <c r="G166" s="163"/>
      <c r="H166" s="269"/>
      <c r="I166" s="176"/>
    </row>
    <row r="167">
      <c r="A167" s="291" t="s">
        <v>50</v>
      </c>
      <c r="B167" s="159"/>
      <c r="C167" s="178"/>
      <c r="D167" s="179"/>
      <c r="E167" s="268"/>
      <c r="F167" s="163"/>
      <c r="G167" s="163"/>
      <c r="H167" s="269"/>
      <c r="I167" s="176"/>
    </row>
    <row r="168">
      <c r="A168" s="291" t="s">
        <v>50</v>
      </c>
      <c r="B168" s="159"/>
      <c r="C168" s="178"/>
      <c r="D168" s="179"/>
      <c r="E168" s="268"/>
      <c r="F168" s="163"/>
      <c r="G168" s="163"/>
      <c r="H168" s="269"/>
      <c r="I168" s="176"/>
    </row>
    <row r="169">
      <c r="A169" s="297" t="s">
        <v>50</v>
      </c>
      <c r="B169" s="193"/>
      <c r="C169" s="194"/>
      <c r="D169" s="195"/>
      <c r="E169" s="270"/>
      <c r="F169" s="197"/>
      <c r="G169" s="197"/>
      <c r="H169" s="298"/>
      <c r="I169" s="299"/>
    </row>
    <row r="170">
      <c r="B170" s="198"/>
      <c r="C170" s="199"/>
      <c r="D170" s="200"/>
      <c r="E170" s="272"/>
      <c r="F170" s="141"/>
      <c r="G170" s="141"/>
      <c r="H170" s="155"/>
    </row>
    <row r="171">
      <c r="A171" s="286" t="s">
        <v>51</v>
      </c>
      <c r="B171" s="187" t="s">
        <v>86</v>
      </c>
      <c r="C171" s="188">
        <v>43955.0</v>
      </c>
      <c r="D171" s="189" t="s">
        <v>86</v>
      </c>
      <c r="E171" s="261">
        <v>120.0</v>
      </c>
      <c r="F171" s="153" t="s">
        <v>26</v>
      </c>
      <c r="G171" s="153" t="s">
        <v>14</v>
      </c>
      <c r="H171" s="153" t="s">
        <v>27</v>
      </c>
      <c r="I171" s="191" t="s">
        <v>16</v>
      </c>
    </row>
    <row r="172">
      <c r="A172" s="291" t="s">
        <v>51</v>
      </c>
      <c r="B172" s="159" t="s">
        <v>86</v>
      </c>
      <c r="C172" s="178">
        <v>43963.0</v>
      </c>
      <c r="D172" s="179" t="s">
        <v>86</v>
      </c>
      <c r="E172" s="268">
        <v>270.0</v>
      </c>
      <c r="F172" s="163" t="s">
        <v>26</v>
      </c>
      <c r="G172" s="163" t="s">
        <v>14</v>
      </c>
      <c r="H172" s="292" t="s">
        <v>27</v>
      </c>
      <c r="I172" s="293" t="s">
        <v>16</v>
      </c>
    </row>
    <row r="173">
      <c r="A173" s="291" t="s">
        <v>51</v>
      </c>
      <c r="B173" s="159" t="s">
        <v>86</v>
      </c>
      <c r="C173" s="178">
        <v>43970.0</v>
      </c>
      <c r="D173" s="179" t="s">
        <v>86</v>
      </c>
      <c r="E173" s="268">
        <v>240.0</v>
      </c>
      <c r="F173" s="163" t="s">
        <v>26</v>
      </c>
      <c r="G173" s="163" t="s">
        <v>14</v>
      </c>
      <c r="H173" s="292" t="s">
        <v>27</v>
      </c>
      <c r="I173" s="293" t="s">
        <v>16</v>
      </c>
    </row>
    <row r="174">
      <c r="A174" s="291" t="s">
        <v>51</v>
      </c>
      <c r="B174" s="159" t="s">
        <v>86</v>
      </c>
      <c r="C174" s="178">
        <v>43972.0</v>
      </c>
      <c r="D174" s="179" t="s">
        <v>339</v>
      </c>
      <c r="E174" s="268">
        <v>587.2</v>
      </c>
      <c r="F174" s="163" t="s">
        <v>22</v>
      </c>
      <c r="G174" s="163" t="s">
        <v>14</v>
      </c>
      <c r="H174" s="292" t="s">
        <v>24</v>
      </c>
      <c r="I174" s="293" t="s">
        <v>16</v>
      </c>
    </row>
    <row r="175">
      <c r="A175" s="291" t="s">
        <v>51</v>
      </c>
      <c r="B175" s="159" t="s">
        <v>86</v>
      </c>
      <c r="C175" s="178">
        <v>43973.0</v>
      </c>
      <c r="D175" s="179" t="s">
        <v>86</v>
      </c>
      <c r="E175" s="268">
        <v>180.0</v>
      </c>
      <c r="F175" s="163" t="s">
        <v>26</v>
      </c>
      <c r="G175" s="163" t="s">
        <v>14</v>
      </c>
      <c r="H175" s="292" t="s">
        <v>27</v>
      </c>
      <c r="I175" s="293" t="s">
        <v>16</v>
      </c>
    </row>
    <row r="176">
      <c r="A176" s="291" t="s">
        <v>51</v>
      </c>
      <c r="B176" s="159" t="s">
        <v>86</v>
      </c>
      <c r="C176" s="178">
        <v>43980.0</v>
      </c>
      <c r="D176" s="179" t="s">
        <v>86</v>
      </c>
      <c r="E176" s="268">
        <v>120.59</v>
      </c>
      <c r="F176" s="163" t="s">
        <v>26</v>
      </c>
      <c r="G176" s="163" t="s">
        <v>14</v>
      </c>
      <c r="H176" s="292" t="s">
        <v>27</v>
      </c>
      <c r="I176" s="293" t="s">
        <v>16</v>
      </c>
    </row>
    <row r="177">
      <c r="A177" s="291" t="s">
        <v>51</v>
      </c>
      <c r="B177" s="159"/>
      <c r="C177" s="178"/>
      <c r="D177" s="179"/>
      <c r="E177" s="268"/>
      <c r="F177" s="163"/>
      <c r="G177" s="163"/>
      <c r="H177" s="294"/>
      <c r="I177" s="295"/>
    </row>
    <row r="178">
      <c r="A178" s="291" t="s">
        <v>51</v>
      </c>
      <c r="B178" s="159"/>
      <c r="C178" s="178"/>
      <c r="D178" s="179"/>
      <c r="E178" s="268"/>
      <c r="F178" s="163"/>
      <c r="G178" s="269"/>
      <c r="H178" s="294"/>
      <c r="I178" s="295"/>
    </row>
    <row r="179">
      <c r="A179" s="291" t="s">
        <v>51</v>
      </c>
      <c r="B179" s="159"/>
      <c r="C179" s="178"/>
      <c r="D179" s="179"/>
      <c r="E179" s="268"/>
      <c r="F179" s="163"/>
      <c r="G179" s="269"/>
      <c r="H179" s="294"/>
      <c r="I179" s="295"/>
    </row>
    <row r="180">
      <c r="A180" s="291" t="s">
        <v>51</v>
      </c>
      <c r="B180" s="159"/>
      <c r="C180" s="178"/>
      <c r="D180" s="179"/>
      <c r="E180" s="268"/>
      <c r="F180" s="163"/>
      <c r="G180" s="269"/>
      <c r="H180" s="294"/>
      <c r="I180" s="295"/>
    </row>
    <row r="181">
      <c r="A181" s="291" t="s">
        <v>51</v>
      </c>
      <c r="B181" s="159"/>
      <c r="C181" s="178"/>
      <c r="D181" s="179"/>
      <c r="E181" s="268"/>
      <c r="F181" s="163"/>
      <c r="G181" s="269"/>
      <c r="H181" s="294"/>
      <c r="I181" s="295"/>
    </row>
    <row r="182">
      <c r="A182" s="291" t="s">
        <v>51</v>
      </c>
      <c r="B182" s="159"/>
      <c r="C182" s="178"/>
      <c r="D182" s="179"/>
      <c r="E182" s="268"/>
      <c r="F182" s="163"/>
      <c r="G182" s="269"/>
      <c r="H182" s="294"/>
      <c r="I182" s="295"/>
    </row>
    <row r="183">
      <c r="A183" s="291" t="s">
        <v>51</v>
      </c>
      <c r="B183" s="159"/>
      <c r="C183" s="178"/>
      <c r="D183" s="179"/>
      <c r="E183" s="268"/>
      <c r="F183" s="163"/>
      <c r="G183" s="269"/>
      <c r="H183" s="294"/>
      <c r="I183" s="295"/>
    </row>
    <row r="184">
      <c r="A184" s="291" t="s">
        <v>51</v>
      </c>
      <c r="B184" s="159"/>
      <c r="C184" s="178"/>
      <c r="D184" s="179"/>
      <c r="E184" s="268"/>
      <c r="F184" s="163"/>
      <c r="G184" s="269"/>
      <c r="H184" s="294"/>
      <c r="I184" s="295"/>
    </row>
    <row r="185">
      <c r="A185" s="291" t="s">
        <v>51</v>
      </c>
      <c r="B185" s="159"/>
      <c r="C185" s="178"/>
      <c r="D185" s="179"/>
      <c r="E185" s="268"/>
      <c r="F185" s="163"/>
      <c r="G185" s="269"/>
      <c r="H185" s="294"/>
      <c r="I185" s="295"/>
    </row>
    <row r="186">
      <c r="A186" s="291" t="s">
        <v>51</v>
      </c>
      <c r="B186" s="159"/>
      <c r="C186" s="178"/>
      <c r="D186" s="179"/>
      <c r="E186" s="268"/>
      <c r="F186" s="163"/>
      <c r="G186" s="269"/>
      <c r="H186" s="294"/>
      <c r="I186" s="295"/>
    </row>
    <row r="187">
      <c r="A187" s="291" t="s">
        <v>51</v>
      </c>
      <c r="B187" s="159"/>
      <c r="C187" s="178"/>
      <c r="D187" s="179"/>
      <c r="E187" s="268"/>
      <c r="F187" s="163"/>
      <c r="G187" s="269"/>
      <c r="H187" s="294"/>
      <c r="I187" s="295"/>
    </row>
    <row r="188">
      <c r="A188" s="291" t="s">
        <v>51</v>
      </c>
      <c r="B188" s="159"/>
      <c r="C188" s="178"/>
      <c r="D188" s="179"/>
      <c r="E188" s="268"/>
      <c r="F188" s="163"/>
      <c r="G188" s="269"/>
      <c r="H188" s="294"/>
      <c r="I188" s="295"/>
    </row>
    <row r="189">
      <c r="A189" s="291" t="s">
        <v>51</v>
      </c>
      <c r="B189" s="159"/>
      <c r="C189" s="178"/>
      <c r="D189" s="179"/>
      <c r="E189" s="268"/>
      <c r="F189" s="163"/>
      <c r="G189" s="269"/>
      <c r="H189" s="294"/>
      <c r="I189" s="295"/>
    </row>
    <row r="190">
      <c r="A190" s="291" t="s">
        <v>51</v>
      </c>
      <c r="B190" s="159"/>
      <c r="C190" s="178"/>
      <c r="D190" s="179"/>
      <c r="E190" s="268"/>
      <c r="F190" s="163"/>
      <c r="G190" s="269"/>
      <c r="H190" s="294"/>
      <c r="I190" s="295"/>
    </row>
    <row r="191">
      <c r="A191" s="291" t="s">
        <v>51</v>
      </c>
      <c r="B191" s="159"/>
      <c r="C191" s="178"/>
      <c r="D191" s="179"/>
      <c r="E191" s="268"/>
      <c r="F191" s="163"/>
      <c r="G191" s="269"/>
      <c r="H191" s="294"/>
      <c r="I191" s="295"/>
    </row>
    <row r="192">
      <c r="A192" s="291" t="s">
        <v>51</v>
      </c>
      <c r="B192" s="159"/>
      <c r="C192" s="178"/>
      <c r="D192" s="179"/>
      <c r="E192" s="268"/>
      <c r="F192" s="163"/>
      <c r="G192" s="269"/>
      <c r="H192" s="294"/>
      <c r="I192" s="295"/>
    </row>
    <row r="193">
      <c r="A193" s="291" t="s">
        <v>51</v>
      </c>
      <c r="B193" s="159"/>
      <c r="C193" s="178"/>
      <c r="D193" s="179"/>
      <c r="E193" s="268"/>
      <c r="F193" s="163"/>
      <c r="G193" s="269"/>
      <c r="H193" s="294"/>
      <c r="I193" s="295"/>
    </row>
    <row r="194">
      <c r="A194" s="291" t="s">
        <v>51</v>
      </c>
      <c r="B194" s="159"/>
      <c r="C194" s="178"/>
      <c r="D194" s="179"/>
      <c r="E194" s="268"/>
      <c r="F194" s="163"/>
      <c r="G194" s="269"/>
      <c r="H194" s="294"/>
      <c r="I194" s="295"/>
    </row>
    <row r="195">
      <c r="A195" s="291" t="s">
        <v>51</v>
      </c>
      <c r="B195" s="159"/>
      <c r="C195" s="178"/>
      <c r="D195" s="179"/>
      <c r="E195" s="268"/>
      <c r="F195" s="163"/>
      <c r="G195" s="163"/>
      <c r="H195" s="269"/>
      <c r="I195" s="176"/>
    </row>
    <row r="196">
      <c r="A196" s="291" t="s">
        <v>51</v>
      </c>
      <c r="B196" s="159"/>
      <c r="C196" s="178"/>
      <c r="D196" s="179"/>
      <c r="E196" s="268"/>
      <c r="F196" s="163"/>
      <c r="G196" s="163"/>
      <c r="H196" s="269"/>
      <c r="I196" s="176"/>
    </row>
    <row r="197">
      <c r="A197" s="291" t="s">
        <v>51</v>
      </c>
      <c r="B197" s="159"/>
      <c r="C197" s="178"/>
      <c r="D197" s="179"/>
      <c r="E197" s="268"/>
      <c r="F197" s="163"/>
      <c r="G197" s="163"/>
      <c r="H197" s="269"/>
      <c r="I197" s="176"/>
    </row>
    <row r="198">
      <c r="A198" s="291" t="s">
        <v>51</v>
      </c>
      <c r="B198" s="159"/>
      <c r="C198" s="178"/>
      <c r="D198" s="179"/>
      <c r="E198" s="268"/>
      <c r="F198" s="163"/>
      <c r="G198" s="163"/>
      <c r="H198" s="269"/>
      <c r="I198" s="176"/>
    </row>
    <row r="199">
      <c r="A199" s="291" t="s">
        <v>51</v>
      </c>
      <c r="B199" s="159"/>
      <c r="C199" s="178"/>
      <c r="D199" s="179"/>
      <c r="E199" s="268"/>
      <c r="F199" s="163"/>
      <c r="G199" s="163"/>
      <c r="H199" s="269"/>
      <c r="I199" s="176"/>
    </row>
    <row r="200">
      <c r="A200" s="291" t="s">
        <v>51</v>
      </c>
      <c r="B200" s="159"/>
      <c r="C200" s="178"/>
      <c r="D200" s="179"/>
      <c r="E200" s="268"/>
      <c r="F200" s="163"/>
      <c r="G200" s="163"/>
      <c r="H200" s="269"/>
      <c r="I200" s="176"/>
    </row>
    <row r="201">
      <c r="A201" s="291" t="s">
        <v>51</v>
      </c>
      <c r="B201" s="159"/>
      <c r="C201" s="178"/>
      <c r="D201" s="179"/>
      <c r="E201" s="268"/>
      <c r="F201" s="163"/>
      <c r="G201" s="163"/>
      <c r="H201" s="269"/>
      <c r="I201" s="176"/>
    </row>
    <row r="202">
      <c r="A202" s="291" t="s">
        <v>51</v>
      </c>
      <c r="B202" s="159"/>
      <c r="C202" s="178"/>
      <c r="D202" s="179"/>
      <c r="E202" s="268"/>
      <c r="F202" s="163"/>
      <c r="G202" s="163"/>
      <c r="H202" s="269"/>
      <c r="I202" s="176"/>
    </row>
    <row r="203">
      <c r="A203" s="291" t="s">
        <v>51</v>
      </c>
      <c r="B203" s="159"/>
      <c r="C203" s="178"/>
      <c r="D203" s="179"/>
      <c r="E203" s="268"/>
      <c r="F203" s="163"/>
      <c r="G203" s="163"/>
      <c r="H203" s="269"/>
      <c r="I203" s="176"/>
    </row>
    <row r="204">
      <c r="A204" s="291" t="s">
        <v>51</v>
      </c>
      <c r="B204" s="159"/>
      <c r="C204" s="178"/>
      <c r="D204" s="179"/>
      <c r="E204" s="268"/>
      <c r="F204" s="163"/>
      <c r="G204" s="163"/>
      <c r="H204" s="269"/>
      <c r="I204" s="176"/>
    </row>
    <row r="205">
      <c r="A205" s="291" t="s">
        <v>51</v>
      </c>
      <c r="B205" s="159"/>
      <c r="C205" s="178"/>
      <c r="D205" s="179"/>
      <c r="E205" s="268"/>
      <c r="F205" s="163"/>
      <c r="G205" s="163"/>
      <c r="H205" s="269"/>
      <c r="I205" s="176"/>
    </row>
    <row r="206">
      <c r="A206" s="291" t="s">
        <v>51</v>
      </c>
      <c r="B206" s="159"/>
      <c r="C206" s="178"/>
      <c r="D206" s="179"/>
      <c r="E206" s="268"/>
      <c r="F206" s="163"/>
      <c r="G206" s="163"/>
      <c r="H206" s="269"/>
      <c r="I206" s="176"/>
    </row>
    <row r="207">
      <c r="A207" s="291" t="s">
        <v>51</v>
      </c>
      <c r="B207" s="159"/>
      <c r="C207" s="178"/>
      <c r="D207" s="179"/>
      <c r="E207" s="268"/>
      <c r="F207" s="163"/>
      <c r="G207" s="163"/>
      <c r="H207" s="269"/>
      <c r="I207" s="176"/>
    </row>
    <row r="208">
      <c r="A208" s="291" t="s">
        <v>51</v>
      </c>
      <c r="B208" s="159"/>
      <c r="C208" s="178"/>
      <c r="D208" s="179"/>
      <c r="E208" s="268"/>
      <c r="F208" s="163"/>
      <c r="G208" s="163"/>
      <c r="H208" s="269"/>
      <c r="I208" s="176"/>
    </row>
    <row r="209">
      <c r="A209" s="291" t="s">
        <v>51</v>
      </c>
      <c r="B209" s="159"/>
      <c r="C209" s="178"/>
      <c r="D209" s="179"/>
      <c r="E209" s="268"/>
      <c r="F209" s="163"/>
      <c r="G209" s="163"/>
      <c r="H209" s="269"/>
      <c r="I209" s="176"/>
    </row>
    <row r="210">
      <c r="A210" s="291" t="s">
        <v>51</v>
      </c>
      <c r="B210" s="159"/>
      <c r="C210" s="178"/>
      <c r="D210" s="179"/>
      <c r="E210" s="268"/>
      <c r="F210" s="163"/>
      <c r="G210" s="163"/>
      <c r="H210" s="269"/>
      <c r="I210" s="176"/>
    </row>
    <row r="211">
      <c r="A211" s="297" t="s">
        <v>51</v>
      </c>
      <c r="B211" s="193"/>
      <c r="C211" s="194"/>
      <c r="D211" s="195"/>
      <c r="E211" s="270"/>
      <c r="F211" s="197"/>
      <c r="G211" s="197"/>
      <c r="H211" s="298"/>
      <c r="I211" s="299"/>
    </row>
    <row r="212">
      <c r="B212" s="198"/>
      <c r="C212" s="199"/>
      <c r="D212" s="200"/>
      <c r="E212" s="272"/>
      <c r="F212" s="141"/>
      <c r="G212" s="141"/>
      <c r="H212" s="155"/>
    </row>
    <row r="213">
      <c r="A213" s="286" t="s">
        <v>52</v>
      </c>
      <c r="B213" s="187" t="s">
        <v>86</v>
      </c>
      <c r="C213" s="188">
        <v>43959.0</v>
      </c>
      <c r="D213" s="189" t="s">
        <v>86</v>
      </c>
      <c r="E213" s="261">
        <v>120.0</v>
      </c>
      <c r="F213" s="153" t="s">
        <v>26</v>
      </c>
      <c r="G213" s="153" t="s">
        <v>14</v>
      </c>
      <c r="H213" s="153" t="s">
        <v>27</v>
      </c>
      <c r="I213" s="191" t="s">
        <v>16</v>
      </c>
    </row>
    <row r="214">
      <c r="A214" s="291" t="s">
        <v>52</v>
      </c>
      <c r="B214" s="159" t="s">
        <v>86</v>
      </c>
      <c r="C214" s="178">
        <v>43999.0</v>
      </c>
      <c r="D214" s="179" t="s">
        <v>86</v>
      </c>
      <c r="E214" s="268">
        <v>317.99</v>
      </c>
      <c r="F214" s="163" t="s">
        <v>26</v>
      </c>
      <c r="G214" s="163" t="s">
        <v>14</v>
      </c>
      <c r="H214" s="292" t="s">
        <v>27</v>
      </c>
      <c r="I214" s="293" t="s">
        <v>16</v>
      </c>
    </row>
    <row r="215">
      <c r="A215" s="291" t="s">
        <v>52</v>
      </c>
      <c r="B215" s="159" t="s">
        <v>86</v>
      </c>
      <c r="C215" s="178">
        <v>44012.0</v>
      </c>
      <c r="D215" s="179" t="s">
        <v>86</v>
      </c>
      <c r="E215" s="268">
        <v>120.0</v>
      </c>
      <c r="F215" s="163" t="s">
        <v>26</v>
      </c>
      <c r="G215" s="163" t="s">
        <v>14</v>
      </c>
      <c r="H215" s="292" t="s">
        <v>27</v>
      </c>
      <c r="I215" s="293" t="s">
        <v>16</v>
      </c>
    </row>
    <row r="216">
      <c r="A216" s="291" t="s">
        <v>52</v>
      </c>
      <c r="B216" s="159"/>
      <c r="C216" s="178"/>
      <c r="D216" s="179"/>
      <c r="E216" s="268"/>
      <c r="F216" s="163"/>
      <c r="G216" s="163"/>
      <c r="H216" s="292"/>
      <c r="I216" s="293"/>
    </row>
    <row r="217">
      <c r="A217" s="291" t="s">
        <v>52</v>
      </c>
      <c r="B217" s="159"/>
      <c r="C217" s="178"/>
      <c r="D217" s="179"/>
      <c r="E217" s="268"/>
      <c r="F217" s="163"/>
      <c r="G217" s="163"/>
      <c r="H217" s="292"/>
      <c r="I217" s="293"/>
    </row>
    <row r="218">
      <c r="A218" s="291" t="s">
        <v>52</v>
      </c>
      <c r="B218" s="159"/>
      <c r="C218" s="178"/>
      <c r="D218" s="179"/>
      <c r="E218" s="268"/>
      <c r="F218" s="163"/>
      <c r="G218" s="163"/>
      <c r="H218" s="292"/>
      <c r="I218" s="293"/>
    </row>
    <row r="219">
      <c r="A219" s="291" t="s">
        <v>52</v>
      </c>
      <c r="B219" s="159"/>
      <c r="C219" s="178"/>
      <c r="D219" s="179"/>
      <c r="E219" s="268"/>
      <c r="F219" s="163"/>
      <c r="G219" s="269"/>
      <c r="H219" s="294"/>
      <c r="I219" s="295"/>
    </row>
    <row r="220">
      <c r="A220" s="291" t="s">
        <v>52</v>
      </c>
      <c r="B220" s="159"/>
      <c r="C220" s="178"/>
      <c r="D220" s="179"/>
      <c r="E220" s="268"/>
      <c r="F220" s="163"/>
      <c r="G220" s="269"/>
      <c r="H220" s="294"/>
      <c r="I220" s="295"/>
    </row>
    <row r="221">
      <c r="A221" s="291" t="s">
        <v>52</v>
      </c>
      <c r="B221" s="159"/>
      <c r="C221" s="178"/>
      <c r="D221" s="179"/>
      <c r="E221" s="268"/>
      <c r="F221" s="163"/>
      <c r="G221" s="269"/>
      <c r="H221" s="294"/>
      <c r="I221" s="295"/>
    </row>
    <row r="222">
      <c r="A222" s="291" t="s">
        <v>52</v>
      </c>
      <c r="B222" s="159"/>
      <c r="C222" s="178"/>
      <c r="D222" s="179"/>
      <c r="E222" s="268"/>
      <c r="F222" s="163"/>
      <c r="G222" s="269"/>
      <c r="H222" s="294"/>
      <c r="I222" s="295"/>
    </row>
    <row r="223">
      <c r="A223" s="291" t="s">
        <v>52</v>
      </c>
      <c r="B223" s="159"/>
      <c r="C223" s="178"/>
      <c r="D223" s="179"/>
      <c r="E223" s="268"/>
      <c r="F223" s="163"/>
      <c r="G223" s="269"/>
      <c r="H223" s="294"/>
      <c r="I223" s="295"/>
    </row>
    <row r="224">
      <c r="A224" s="291" t="s">
        <v>52</v>
      </c>
      <c r="B224" s="159"/>
      <c r="C224" s="178"/>
      <c r="D224" s="179"/>
      <c r="E224" s="268"/>
      <c r="F224" s="163"/>
      <c r="G224" s="269"/>
      <c r="H224" s="294"/>
      <c r="I224" s="295"/>
    </row>
    <row r="225">
      <c r="A225" s="291" t="s">
        <v>52</v>
      </c>
      <c r="B225" s="159"/>
      <c r="C225" s="178"/>
      <c r="D225" s="179"/>
      <c r="E225" s="268"/>
      <c r="F225" s="163"/>
      <c r="G225" s="269"/>
      <c r="H225" s="294"/>
      <c r="I225" s="295"/>
    </row>
    <row r="226">
      <c r="A226" s="291" t="s">
        <v>52</v>
      </c>
      <c r="B226" s="159"/>
      <c r="C226" s="178"/>
      <c r="D226" s="179"/>
      <c r="E226" s="268"/>
      <c r="F226" s="163"/>
      <c r="G226" s="269"/>
      <c r="H226" s="294"/>
      <c r="I226" s="295"/>
    </row>
    <row r="227">
      <c r="A227" s="291" t="s">
        <v>52</v>
      </c>
      <c r="B227" s="159"/>
      <c r="C227" s="178"/>
      <c r="D227" s="179"/>
      <c r="E227" s="268"/>
      <c r="F227" s="163"/>
      <c r="G227" s="269"/>
      <c r="H227" s="294"/>
      <c r="I227" s="295"/>
    </row>
    <row r="228">
      <c r="A228" s="291" t="s">
        <v>52</v>
      </c>
      <c r="B228" s="159"/>
      <c r="C228" s="178"/>
      <c r="D228" s="179"/>
      <c r="E228" s="268"/>
      <c r="F228" s="163"/>
      <c r="G228" s="269"/>
      <c r="H228" s="294"/>
      <c r="I228" s="295"/>
    </row>
    <row r="229">
      <c r="A229" s="291" t="s">
        <v>52</v>
      </c>
      <c r="B229" s="159"/>
      <c r="C229" s="178"/>
      <c r="D229" s="179"/>
      <c r="E229" s="268"/>
      <c r="F229" s="163"/>
      <c r="G229" s="269"/>
      <c r="H229" s="294"/>
      <c r="I229" s="295"/>
    </row>
    <row r="230">
      <c r="A230" s="291" t="s">
        <v>52</v>
      </c>
      <c r="B230" s="159"/>
      <c r="C230" s="178"/>
      <c r="D230" s="179"/>
      <c r="E230" s="268"/>
      <c r="F230" s="163"/>
      <c r="G230" s="269"/>
      <c r="H230" s="294"/>
      <c r="I230" s="295"/>
    </row>
    <row r="231">
      <c r="A231" s="291" t="s">
        <v>52</v>
      </c>
      <c r="B231" s="159"/>
      <c r="C231" s="178"/>
      <c r="D231" s="179"/>
      <c r="E231" s="268"/>
      <c r="F231" s="163"/>
      <c r="G231" s="269"/>
      <c r="H231" s="294"/>
      <c r="I231" s="295"/>
    </row>
    <row r="232">
      <c r="A232" s="291" t="s">
        <v>52</v>
      </c>
      <c r="B232" s="159"/>
      <c r="C232" s="178"/>
      <c r="D232" s="179"/>
      <c r="E232" s="268"/>
      <c r="F232" s="163"/>
      <c r="G232" s="269"/>
      <c r="H232" s="294"/>
      <c r="I232" s="295"/>
    </row>
    <row r="233">
      <c r="A233" s="291" t="s">
        <v>52</v>
      </c>
      <c r="B233" s="159"/>
      <c r="C233" s="178"/>
      <c r="D233" s="179"/>
      <c r="E233" s="268"/>
      <c r="F233" s="163"/>
      <c r="G233" s="269"/>
      <c r="H233" s="294"/>
      <c r="I233" s="295"/>
    </row>
    <row r="234">
      <c r="A234" s="291" t="s">
        <v>52</v>
      </c>
      <c r="B234" s="159"/>
      <c r="C234" s="178"/>
      <c r="D234" s="179"/>
      <c r="E234" s="268"/>
      <c r="F234" s="163"/>
      <c r="G234" s="269"/>
      <c r="H234" s="294"/>
      <c r="I234" s="295"/>
    </row>
    <row r="235">
      <c r="A235" s="291" t="s">
        <v>52</v>
      </c>
      <c r="B235" s="159"/>
      <c r="C235" s="178"/>
      <c r="D235" s="179"/>
      <c r="E235" s="268"/>
      <c r="F235" s="163"/>
      <c r="G235" s="269"/>
      <c r="H235" s="294"/>
      <c r="I235" s="295"/>
    </row>
    <row r="236">
      <c r="A236" s="291" t="s">
        <v>52</v>
      </c>
      <c r="B236" s="159"/>
      <c r="C236" s="178"/>
      <c r="D236" s="179"/>
      <c r="E236" s="268"/>
      <c r="F236" s="163"/>
      <c r="G236" s="269"/>
      <c r="H236" s="294"/>
      <c r="I236" s="295"/>
    </row>
    <row r="237">
      <c r="A237" s="291" t="s">
        <v>52</v>
      </c>
      <c r="B237" s="159"/>
      <c r="C237" s="178"/>
      <c r="D237" s="179"/>
      <c r="E237" s="268"/>
      <c r="F237" s="163"/>
      <c r="G237" s="163"/>
      <c r="H237" s="269"/>
      <c r="I237" s="176"/>
    </row>
    <row r="238">
      <c r="A238" s="291" t="s">
        <v>52</v>
      </c>
      <c r="B238" s="159"/>
      <c r="C238" s="178"/>
      <c r="D238" s="179"/>
      <c r="E238" s="268"/>
      <c r="F238" s="163"/>
      <c r="G238" s="163"/>
      <c r="H238" s="269"/>
      <c r="I238" s="176"/>
    </row>
    <row r="239">
      <c r="A239" s="291" t="s">
        <v>52</v>
      </c>
      <c r="B239" s="159"/>
      <c r="C239" s="178"/>
      <c r="D239" s="179"/>
      <c r="E239" s="268"/>
      <c r="F239" s="163"/>
      <c r="G239" s="163"/>
      <c r="H239" s="269"/>
      <c r="I239" s="176"/>
    </row>
    <row r="240">
      <c r="A240" s="291" t="s">
        <v>52</v>
      </c>
      <c r="B240" s="159"/>
      <c r="C240" s="178"/>
      <c r="D240" s="179"/>
      <c r="E240" s="268"/>
      <c r="F240" s="163"/>
      <c r="G240" s="163"/>
      <c r="H240" s="269"/>
      <c r="I240" s="176"/>
    </row>
    <row r="241">
      <c r="A241" s="291" t="s">
        <v>52</v>
      </c>
      <c r="B241" s="159"/>
      <c r="C241" s="178"/>
      <c r="D241" s="179"/>
      <c r="E241" s="268"/>
      <c r="F241" s="163"/>
      <c r="G241" s="163"/>
      <c r="H241" s="269"/>
      <c r="I241" s="176"/>
    </row>
    <row r="242">
      <c r="A242" s="291" t="s">
        <v>52</v>
      </c>
      <c r="B242" s="159"/>
      <c r="C242" s="178"/>
      <c r="D242" s="179"/>
      <c r="E242" s="268"/>
      <c r="F242" s="163"/>
      <c r="G242" s="163"/>
      <c r="H242" s="269"/>
      <c r="I242" s="176"/>
    </row>
    <row r="243">
      <c r="A243" s="291" t="s">
        <v>52</v>
      </c>
      <c r="B243" s="159"/>
      <c r="C243" s="178"/>
      <c r="D243" s="179"/>
      <c r="E243" s="268"/>
      <c r="F243" s="163"/>
      <c r="G243" s="163"/>
      <c r="H243" s="269"/>
      <c r="I243" s="176"/>
    </row>
    <row r="244">
      <c r="A244" s="291" t="s">
        <v>52</v>
      </c>
      <c r="B244" s="159"/>
      <c r="C244" s="178"/>
      <c r="D244" s="179"/>
      <c r="E244" s="268"/>
      <c r="F244" s="163"/>
      <c r="G244" s="163"/>
      <c r="H244" s="269"/>
      <c r="I244" s="176"/>
    </row>
    <row r="245">
      <c r="A245" s="291" t="s">
        <v>52</v>
      </c>
      <c r="B245" s="159"/>
      <c r="C245" s="178"/>
      <c r="D245" s="179"/>
      <c r="E245" s="268"/>
      <c r="F245" s="163"/>
      <c r="G245" s="163"/>
      <c r="H245" s="269"/>
      <c r="I245" s="176"/>
    </row>
    <row r="246">
      <c r="A246" s="291" t="s">
        <v>52</v>
      </c>
      <c r="B246" s="159"/>
      <c r="C246" s="178"/>
      <c r="D246" s="179"/>
      <c r="E246" s="268"/>
      <c r="F246" s="163"/>
      <c r="G246" s="163"/>
      <c r="H246" s="269"/>
      <c r="I246" s="176"/>
    </row>
    <row r="247">
      <c r="A247" s="291" t="s">
        <v>52</v>
      </c>
      <c r="B247" s="159"/>
      <c r="C247" s="178"/>
      <c r="D247" s="179"/>
      <c r="E247" s="268"/>
      <c r="F247" s="163"/>
      <c r="G247" s="163"/>
      <c r="H247" s="269"/>
      <c r="I247" s="176"/>
    </row>
    <row r="248">
      <c r="A248" s="291" t="s">
        <v>52</v>
      </c>
      <c r="B248" s="159"/>
      <c r="C248" s="178"/>
      <c r="D248" s="179"/>
      <c r="E248" s="268"/>
      <c r="F248" s="163"/>
      <c r="G248" s="163"/>
      <c r="H248" s="269"/>
      <c r="I248" s="176"/>
    </row>
    <row r="249">
      <c r="A249" s="291" t="s">
        <v>52</v>
      </c>
      <c r="B249" s="159"/>
      <c r="C249" s="178"/>
      <c r="D249" s="179"/>
      <c r="E249" s="268"/>
      <c r="F249" s="163"/>
      <c r="G249" s="163"/>
      <c r="H249" s="269"/>
      <c r="I249" s="176"/>
    </row>
    <row r="250">
      <c r="A250" s="291" t="s">
        <v>52</v>
      </c>
      <c r="B250" s="159"/>
      <c r="C250" s="178"/>
      <c r="D250" s="179"/>
      <c r="E250" s="268"/>
      <c r="F250" s="163"/>
      <c r="G250" s="163"/>
      <c r="H250" s="269"/>
      <c r="I250" s="176"/>
    </row>
    <row r="251">
      <c r="A251" s="291" t="s">
        <v>52</v>
      </c>
      <c r="B251" s="159"/>
      <c r="C251" s="178"/>
      <c r="D251" s="179"/>
      <c r="E251" s="268"/>
      <c r="F251" s="163"/>
      <c r="G251" s="163"/>
      <c r="H251" s="269"/>
      <c r="I251" s="176"/>
    </row>
    <row r="252">
      <c r="A252" s="291" t="s">
        <v>52</v>
      </c>
      <c r="B252" s="159"/>
      <c r="C252" s="178"/>
      <c r="D252" s="179"/>
      <c r="E252" s="268"/>
      <c r="F252" s="163"/>
      <c r="G252" s="163"/>
      <c r="H252" s="269"/>
      <c r="I252" s="176"/>
    </row>
    <row r="253">
      <c r="A253" s="297" t="s">
        <v>52</v>
      </c>
      <c r="B253" s="193"/>
      <c r="C253" s="194"/>
      <c r="D253" s="195"/>
      <c r="E253" s="270"/>
      <c r="F253" s="197"/>
      <c r="G253" s="197"/>
      <c r="H253" s="298"/>
      <c r="I253" s="299"/>
    </row>
    <row r="255">
      <c r="A255" s="286" t="s">
        <v>53</v>
      </c>
      <c r="B255" s="187" t="s">
        <v>86</v>
      </c>
      <c r="C255" s="188">
        <v>44019.0</v>
      </c>
      <c r="D255" s="189" t="s">
        <v>86</v>
      </c>
      <c r="E255" s="282">
        <v>425.35</v>
      </c>
      <c r="F255" s="153" t="s">
        <v>26</v>
      </c>
      <c r="G255" s="153" t="s">
        <v>14</v>
      </c>
      <c r="H255" s="153" t="s">
        <v>27</v>
      </c>
      <c r="I255" s="191" t="s">
        <v>16</v>
      </c>
    </row>
    <row r="256">
      <c r="A256" s="291" t="s">
        <v>53</v>
      </c>
      <c r="B256" s="159" t="s">
        <v>86</v>
      </c>
      <c r="C256" s="178">
        <v>44027.0</v>
      </c>
      <c r="D256" s="179" t="s">
        <v>86</v>
      </c>
      <c r="E256" s="283">
        <v>120.0</v>
      </c>
      <c r="F256" s="163" t="s">
        <v>26</v>
      </c>
      <c r="G256" s="163" t="s">
        <v>14</v>
      </c>
      <c r="H256" s="292" t="s">
        <v>27</v>
      </c>
      <c r="I256" s="293" t="s">
        <v>16</v>
      </c>
    </row>
    <row r="257">
      <c r="A257" s="291" t="s">
        <v>53</v>
      </c>
      <c r="B257" s="159" t="s">
        <v>86</v>
      </c>
      <c r="C257" s="178">
        <v>44033.0</v>
      </c>
      <c r="D257" s="179" t="s">
        <v>86</v>
      </c>
      <c r="E257" s="283">
        <v>120.0</v>
      </c>
      <c r="F257" s="163" t="s">
        <v>26</v>
      </c>
      <c r="G257" s="163" t="s">
        <v>14</v>
      </c>
      <c r="H257" s="292" t="s">
        <v>27</v>
      </c>
      <c r="I257" s="293" t="s">
        <v>16</v>
      </c>
    </row>
    <row r="258">
      <c r="A258" s="291" t="s">
        <v>53</v>
      </c>
      <c r="B258" s="159" t="s">
        <v>86</v>
      </c>
      <c r="C258" s="178">
        <v>44039.0</v>
      </c>
      <c r="D258" s="179" t="s">
        <v>86</v>
      </c>
      <c r="E258" s="283">
        <v>120.0</v>
      </c>
      <c r="F258" s="163" t="s">
        <v>26</v>
      </c>
      <c r="G258" s="163" t="s">
        <v>14</v>
      </c>
      <c r="H258" s="292" t="s">
        <v>27</v>
      </c>
      <c r="I258" s="293" t="s">
        <v>16</v>
      </c>
    </row>
    <row r="259">
      <c r="A259" s="291" t="s">
        <v>53</v>
      </c>
      <c r="B259" s="159"/>
      <c r="C259" s="178"/>
      <c r="D259" s="179"/>
      <c r="E259" s="283"/>
      <c r="F259" s="163"/>
      <c r="G259" s="163"/>
      <c r="H259" s="292"/>
      <c r="I259" s="293"/>
    </row>
    <row r="260">
      <c r="A260" s="291" t="s">
        <v>53</v>
      </c>
      <c r="B260" s="159"/>
      <c r="C260" s="178"/>
      <c r="D260" s="179"/>
      <c r="E260" s="283"/>
      <c r="F260" s="163"/>
      <c r="G260" s="163"/>
      <c r="H260" s="292"/>
      <c r="I260" s="293"/>
    </row>
    <row r="261">
      <c r="A261" s="291" t="s">
        <v>53</v>
      </c>
      <c r="B261" s="159"/>
      <c r="C261" s="178"/>
      <c r="D261" s="179"/>
      <c r="E261" s="268"/>
      <c r="F261" s="163"/>
      <c r="G261" s="269"/>
      <c r="H261" s="294"/>
      <c r="I261" s="295"/>
    </row>
    <row r="262">
      <c r="A262" s="291" t="s">
        <v>53</v>
      </c>
      <c r="B262" s="159"/>
      <c r="C262" s="178"/>
      <c r="D262" s="179"/>
      <c r="E262" s="268"/>
      <c r="F262" s="163"/>
      <c r="G262" s="269"/>
      <c r="H262" s="294"/>
      <c r="I262" s="295"/>
    </row>
    <row r="263">
      <c r="A263" s="291" t="s">
        <v>53</v>
      </c>
      <c r="B263" s="159"/>
      <c r="C263" s="178"/>
      <c r="D263" s="179"/>
      <c r="E263" s="268"/>
      <c r="F263" s="163"/>
      <c r="G263" s="269"/>
      <c r="H263" s="294"/>
      <c r="I263" s="295"/>
    </row>
    <row r="264">
      <c r="A264" s="291" t="s">
        <v>53</v>
      </c>
      <c r="B264" s="159"/>
      <c r="C264" s="178"/>
      <c r="D264" s="179"/>
      <c r="E264" s="268"/>
      <c r="F264" s="163"/>
      <c r="G264" s="269"/>
      <c r="H264" s="294"/>
      <c r="I264" s="295"/>
    </row>
    <row r="265">
      <c r="A265" s="291" t="s">
        <v>53</v>
      </c>
      <c r="B265" s="159"/>
      <c r="C265" s="178"/>
      <c r="D265" s="179"/>
      <c r="E265" s="268"/>
      <c r="F265" s="163"/>
      <c r="G265" s="269"/>
      <c r="H265" s="294"/>
      <c r="I265" s="295"/>
    </row>
    <row r="266">
      <c r="A266" s="291" t="s">
        <v>53</v>
      </c>
      <c r="B266" s="159"/>
      <c r="C266" s="178"/>
      <c r="D266" s="179"/>
      <c r="E266" s="268"/>
      <c r="F266" s="163"/>
      <c r="G266" s="269"/>
      <c r="H266" s="294"/>
      <c r="I266" s="295"/>
    </row>
    <row r="267">
      <c r="A267" s="291" t="s">
        <v>53</v>
      </c>
      <c r="B267" s="159"/>
      <c r="C267" s="178"/>
      <c r="D267" s="179"/>
      <c r="E267" s="268"/>
      <c r="F267" s="163"/>
      <c r="G267" s="269"/>
      <c r="H267" s="294"/>
      <c r="I267" s="295"/>
    </row>
    <row r="268">
      <c r="A268" s="291" t="s">
        <v>53</v>
      </c>
      <c r="B268" s="159"/>
      <c r="C268" s="178"/>
      <c r="D268" s="179"/>
      <c r="E268" s="268"/>
      <c r="F268" s="163"/>
      <c r="G268" s="269"/>
      <c r="H268" s="294"/>
      <c r="I268" s="295"/>
    </row>
    <row r="269">
      <c r="A269" s="291" t="s">
        <v>53</v>
      </c>
      <c r="B269" s="159"/>
      <c r="C269" s="178"/>
      <c r="D269" s="179"/>
      <c r="E269" s="268"/>
      <c r="F269" s="163"/>
      <c r="G269" s="269"/>
      <c r="H269" s="294"/>
      <c r="I269" s="295"/>
    </row>
    <row r="270">
      <c r="A270" s="291" t="s">
        <v>53</v>
      </c>
      <c r="B270" s="159"/>
      <c r="C270" s="178"/>
      <c r="D270" s="179"/>
      <c r="E270" s="268"/>
      <c r="F270" s="163"/>
      <c r="G270" s="269"/>
      <c r="H270" s="294"/>
      <c r="I270" s="295"/>
    </row>
    <row r="271">
      <c r="A271" s="291" t="s">
        <v>53</v>
      </c>
      <c r="B271" s="159"/>
      <c r="C271" s="178"/>
      <c r="D271" s="179"/>
      <c r="E271" s="268"/>
      <c r="F271" s="163"/>
      <c r="G271" s="269"/>
      <c r="H271" s="294"/>
      <c r="I271" s="295"/>
    </row>
    <row r="272">
      <c r="A272" s="291" t="s">
        <v>53</v>
      </c>
      <c r="B272" s="159"/>
      <c r="C272" s="178"/>
      <c r="D272" s="179"/>
      <c r="E272" s="268"/>
      <c r="F272" s="163"/>
      <c r="G272" s="269"/>
      <c r="H272" s="294"/>
      <c r="I272" s="295"/>
    </row>
    <row r="273">
      <c r="A273" s="291" t="s">
        <v>53</v>
      </c>
      <c r="B273" s="159"/>
      <c r="C273" s="178"/>
      <c r="D273" s="179"/>
      <c r="E273" s="268"/>
      <c r="F273" s="163"/>
      <c r="G273" s="269"/>
      <c r="H273" s="294"/>
      <c r="I273" s="295"/>
    </row>
    <row r="274">
      <c r="A274" s="291" t="s">
        <v>53</v>
      </c>
      <c r="B274" s="159"/>
      <c r="C274" s="178"/>
      <c r="D274" s="179"/>
      <c r="E274" s="268"/>
      <c r="F274" s="163"/>
      <c r="G274" s="269"/>
      <c r="H274" s="294"/>
      <c r="I274" s="295"/>
    </row>
    <row r="275">
      <c r="A275" s="291" t="s">
        <v>53</v>
      </c>
      <c r="B275" s="159"/>
      <c r="C275" s="178"/>
      <c r="D275" s="179"/>
      <c r="E275" s="268"/>
      <c r="F275" s="163"/>
      <c r="G275" s="269"/>
      <c r="H275" s="294"/>
      <c r="I275" s="295"/>
    </row>
    <row r="276">
      <c r="A276" s="291" t="s">
        <v>53</v>
      </c>
      <c r="B276" s="159"/>
      <c r="C276" s="178"/>
      <c r="D276" s="179"/>
      <c r="E276" s="268"/>
      <c r="F276" s="163"/>
      <c r="G276" s="269"/>
      <c r="H276" s="294"/>
      <c r="I276" s="295"/>
    </row>
    <row r="277">
      <c r="A277" s="291" t="s">
        <v>53</v>
      </c>
      <c r="B277" s="159"/>
      <c r="C277" s="178"/>
      <c r="D277" s="179"/>
      <c r="E277" s="268"/>
      <c r="F277" s="163"/>
      <c r="G277" s="269"/>
      <c r="H277" s="294"/>
      <c r="I277" s="295"/>
    </row>
    <row r="278">
      <c r="A278" s="291" t="s">
        <v>53</v>
      </c>
      <c r="B278" s="159"/>
      <c r="C278" s="178"/>
      <c r="D278" s="179"/>
      <c r="E278" s="268"/>
      <c r="F278" s="163"/>
      <c r="G278" s="269"/>
      <c r="H278" s="294"/>
      <c r="I278" s="295"/>
    </row>
    <row r="279">
      <c r="A279" s="291" t="s">
        <v>53</v>
      </c>
      <c r="B279" s="159"/>
      <c r="C279" s="178"/>
      <c r="D279" s="179"/>
      <c r="E279" s="268"/>
      <c r="F279" s="163"/>
      <c r="G279" s="163"/>
      <c r="H279" s="269"/>
      <c r="I279" s="176"/>
    </row>
    <row r="280">
      <c r="A280" s="291" t="s">
        <v>53</v>
      </c>
      <c r="B280" s="159"/>
      <c r="C280" s="178"/>
      <c r="D280" s="179"/>
      <c r="E280" s="268"/>
      <c r="F280" s="163"/>
      <c r="G280" s="163"/>
      <c r="H280" s="269"/>
      <c r="I280" s="176"/>
    </row>
    <row r="281">
      <c r="A281" s="291" t="s">
        <v>53</v>
      </c>
      <c r="B281" s="159"/>
      <c r="C281" s="178"/>
      <c r="D281" s="179"/>
      <c r="E281" s="268"/>
      <c r="F281" s="163"/>
      <c r="G281" s="163"/>
      <c r="H281" s="269"/>
      <c r="I281" s="176"/>
    </row>
    <row r="282">
      <c r="A282" s="291" t="s">
        <v>53</v>
      </c>
      <c r="B282" s="159"/>
      <c r="C282" s="178"/>
      <c r="D282" s="179"/>
      <c r="E282" s="268"/>
      <c r="F282" s="163"/>
      <c r="G282" s="163"/>
      <c r="H282" s="269"/>
      <c r="I282" s="176"/>
    </row>
    <row r="283">
      <c r="A283" s="291" t="s">
        <v>53</v>
      </c>
      <c r="B283" s="159"/>
      <c r="C283" s="178"/>
      <c r="D283" s="179"/>
      <c r="E283" s="268"/>
      <c r="F283" s="163"/>
      <c r="G283" s="163"/>
      <c r="H283" s="269"/>
      <c r="I283" s="176"/>
    </row>
    <row r="284">
      <c r="A284" s="291" t="s">
        <v>53</v>
      </c>
      <c r="B284" s="159"/>
      <c r="C284" s="178"/>
      <c r="D284" s="179"/>
      <c r="E284" s="268"/>
      <c r="F284" s="163"/>
      <c r="G284" s="163"/>
      <c r="H284" s="269"/>
      <c r="I284" s="176"/>
    </row>
    <row r="285">
      <c r="A285" s="291" t="s">
        <v>53</v>
      </c>
      <c r="B285" s="159"/>
      <c r="C285" s="178"/>
      <c r="D285" s="179"/>
      <c r="E285" s="268"/>
      <c r="F285" s="163"/>
      <c r="G285" s="163"/>
      <c r="H285" s="269"/>
      <c r="I285" s="176"/>
    </row>
    <row r="286">
      <c r="A286" s="291" t="s">
        <v>53</v>
      </c>
      <c r="B286" s="159"/>
      <c r="C286" s="178"/>
      <c r="D286" s="179"/>
      <c r="E286" s="268"/>
      <c r="F286" s="163"/>
      <c r="G286" s="163"/>
      <c r="H286" s="269"/>
      <c r="I286" s="176"/>
    </row>
    <row r="287">
      <c r="A287" s="291" t="s">
        <v>53</v>
      </c>
      <c r="B287" s="159"/>
      <c r="C287" s="178"/>
      <c r="D287" s="179"/>
      <c r="E287" s="268"/>
      <c r="F287" s="163"/>
      <c r="G287" s="163"/>
      <c r="H287" s="269"/>
      <c r="I287" s="176"/>
    </row>
    <row r="288">
      <c r="A288" s="291" t="s">
        <v>53</v>
      </c>
      <c r="B288" s="159"/>
      <c r="C288" s="178"/>
      <c r="D288" s="179"/>
      <c r="E288" s="268"/>
      <c r="F288" s="163"/>
      <c r="G288" s="163"/>
      <c r="H288" s="269"/>
      <c r="I288" s="176"/>
    </row>
    <row r="289">
      <c r="A289" s="291" t="s">
        <v>53</v>
      </c>
      <c r="B289" s="159"/>
      <c r="C289" s="178"/>
      <c r="D289" s="179"/>
      <c r="E289" s="268"/>
      <c r="F289" s="163"/>
      <c r="G289" s="163"/>
      <c r="H289" s="269"/>
      <c r="I289" s="176"/>
    </row>
    <row r="290">
      <c r="A290" s="291" t="s">
        <v>53</v>
      </c>
      <c r="B290" s="159"/>
      <c r="C290" s="178"/>
      <c r="D290" s="179"/>
      <c r="E290" s="268"/>
      <c r="F290" s="163"/>
      <c r="G290" s="163"/>
      <c r="H290" s="269"/>
      <c r="I290" s="176"/>
    </row>
    <row r="291">
      <c r="A291" s="291" t="s">
        <v>53</v>
      </c>
      <c r="B291" s="159"/>
      <c r="C291" s="178"/>
      <c r="D291" s="179"/>
      <c r="E291" s="268"/>
      <c r="F291" s="163"/>
      <c r="G291" s="163"/>
      <c r="H291" s="269"/>
      <c r="I291" s="176"/>
    </row>
    <row r="292">
      <c r="A292" s="291" t="s">
        <v>53</v>
      </c>
      <c r="B292" s="159"/>
      <c r="C292" s="178"/>
      <c r="D292" s="179"/>
      <c r="E292" s="268"/>
      <c r="F292" s="163"/>
      <c r="G292" s="163"/>
      <c r="H292" s="269"/>
      <c r="I292" s="176"/>
    </row>
    <row r="293">
      <c r="A293" s="291" t="s">
        <v>53</v>
      </c>
      <c r="B293" s="159"/>
      <c r="C293" s="178"/>
      <c r="D293" s="179"/>
      <c r="E293" s="268"/>
      <c r="F293" s="163"/>
      <c r="G293" s="163"/>
      <c r="H293" s="269"/>
      <c r="I293" s="176"/>
    </row>
    <row r="294">
      <c r="A294" s="291" t="s">
        <v>53</v>
      </c>
      <c r="B294" s="159"/>
      <c r="C294" s="178"/>
      <c r="D294" s="179"/>
      <c r="E294" s="268"/>
      <c r="F294" s="163"/>
      <c r="G294" s="163"/>
      <c r="H294" s="269"/>
      <c r="I294" s="176"/>
    </row>
    <row r="295">
      <c r="A295" s="297" t="s">
        <v>53</v>
      </c>
      <c r="B295" s="193"/>
      <c r="C295" s="194"/>
      <c r="D295" s="195"/>
      <c r="E295" s="270"/>
      <c r="F295" s="197"/>
      <c r="G295" s="197"/>
      <c r="H295" s="298"/>
      <c r="I295" s="299"/>
    </row>
    <row r="297">
      <c r="A297" s="286" t="s">
        <v>54</v>
      </c>
      <c r="B297" s="187" t="s">
        <v>86</v>
      </c>
      <c r="C297" s="188">
        <v>44148.0</v>
      </c>
      <c r="D297" s="189" t="s">
        <v>340</v>
      </c>
      <c r="E297" s="282">
        <v>1500.0</v>
      </c>
      <c r="F297" s="153" t="s">
        <v>14</v>
      </c>
      <c r="G297" s="153" t="s">
        <v>28</v>
      </c>
      <c r="H297" s="153" t="s">
        <v>16</v>
      </c>
      <c r="I297" s="191" t="s">
        <v>30</v>
      </c>
    </row>
    <row r="298">
      <c r="A298" s="291" t="s">
        <v>54</v>
      </c>
      <c r="B298" s="159" t="s">
        <v>86</v>
      </c>
      <c r="C298" s="178">
        <v>44044.0</v>
      </c>
      <c r="D298" s="179" t="s">
        <v>86</v>
      </c>
      <c r="E298" s="283">
        <v>121.0</v>
      </c>
      <c r="F298" s="163" t="s">
        <v>26</v>
      </c>
      <c r="G298" s="163" t="s">
        <v>14</v>
      </c>
      <c r="H298" s="292" t="s">
        <v>27</v>
      </c>
      <c r="I298" s="293" t="s">
        <v>16</v>
      </c>
    </row>
    <row r="299">
      <c r="A299" s="291" t="s">
        <v>54</v>
      </c>
      <c r="B299" s="159" t="s">
        <v>86</v>
      </c>
      <c r="C299" s="178">
        <v>44053.0</v>
      </c>
      <c r="D299" s="179" t="s">
        <v>86</v>
      </c>
      <c r="E299" s="283">
        <v>198.0</v>
      </c>
      <c r="F299" s="163" t="s">
        <v>26</v>
      </c>
      <c r="G299" s="163" t="s">
        <v>14</v>
      </c>
      <c r="H299" s="292" t="s">
        <v>27</v>
      </c>
      <c r="I299" s="293" t="s">
        <v>16</v>
      </c>
    </row>
    <row r="300">
      <c r="A300" s="291" t="s">
        <v>54</v>
      </c>
      <c r="B300" s="159" t="s">
        <v>86</v>
      </c>
      <c r="C300" s="178">
        <v>44060.0</v>
      </c>
      <c r="D300" s="179" t="s">
        <v>86</v>
      </c>
      <c r="E300" s="283">
        <v>120.0</v>
      </c>
      <c r="F300" s="163" t="s">
        <v>26</v>
      </c>
      <c r="G300" s="163" t="s">
        <v>14</v>
      </c>
      <c r="H300" s="292" t="s">
        <v>27</v>
      </c>
      <c r="I300" s="293" t="s">
        <v>16</v>
      </c>
    </row>
    <row r="301">
      <c r="A301" s="291" t="s">
        <v>54</v>
      </c>
      <c r="B301" s="159" t="s">
        <v>86</v>
      </c>
      <c r="C301" s="178">
        <v>44072.0</v>
      </c>
      <c r="D301" s="179" t="s">
        <v>86</v>
      </c>
      <c r="E301" s="283">
        <v>180.0</v>
      </c>
      <c r="F301" s="163" t="s">
        <v>26</v>
      </c>
      <c r="G301" s="163" t="s">
        <v>14</v>
      </c>
      <c r="H301" s="292" t="s">
        <v>27</v>
      </c>
      <c r="I301" s="293" t="s">
        <v>16</v>
      </c>
    </row>
    <row r="302">
      <c r="A302" s="291" t="s">
        <v>54</v>
      </c>
      <c r="B302" s="159"/>
      <c r="C302" s="178"/>
      <c r="D302" s="179"/>
      <c r="E302" s="283"/>
      <c r="F302" s="163"/>
      <c r="G302" s="163"/>
      <c r="H302" s="292"/>
      <c r="I302" s="293"/>
    </row>
    <row r="303">
      <c r="A303" s="291" t="s">
        <v>54</v>
      </c>
      <c r="B303" s="159"/>
      <c r="C303" s="178"/>
      <c r="D303" s="179"/>
      <c r="E303" s="268"/>
      <c r="F303" s="163"/>
      <c r="G303" s="269"/>
      <c r="H303" s="294"/>
      <c r="I303" s="295"/>
    </row>
    <row r="304">
      <c r="A304" s="291" t="s">
        <v>54</v>
      </c>
      <c r="B304" s="159"/>
      <c r="C304" s="178"/>
      <c r="D304" s="179"/>
      <c r="E304" s="268"/>
      <c r="F304" s="163"/>
      <c r="G304" s="269"/>
      <c r="H304" s="294"/>
      <c r="I304" s="295"/>
    </row>
    <row r="305">
      <c r="A305" s="291" t="s">
        <v>54</v>
      </c>
      <c r="B305" s="159"/>
      <c r="C305" s="178"/>
      <c r="D305" s="179"/>
      <c r="E305" s="268"/>
      <c r="F305" s="163"/>
      <c r="G305" s="269"/>
      <c r="H305" s="294"/>
      <c r="I305" s="295"/>
    </row>
    <row r="306">
      <c r="A306" s="291" t="s">
        <v>54</v>
      </c>
      <c r="B306" s="159"/>
      <c r="C306" s="178"/>
      <c r="D306" s="179"/>
      <c r="E306" s="268"/>
      <c r="F306" s="163"/>
      <c r="G306" s="269"/>
      <c r="H306" s="294"/>
      <c r="I306" s="295"/>
    </row>
    <row r="307">
      <c r="A307" s="291" t="s">
        <v>54</v>
      </c>
      <c r="B307" s="159"/>
      <c r="C307" s="178"/>
      <c r="D307" s="179"/>
      <c r="E307" s="268"/>
      <c r="F307" s="163"/>
      <c r="G307" s="269"/>
      <c r="H307" s="294"/>
      <c r="I307" s="295"/>
    </row>
    <row r="308">
      <c r="A308" s="291" t="s">
        <v>54</v>
      </c>
      <c r="B308" s="159"/>
      <c r="C308" s="178"/>
      <c r="D308" s="179"/>
      <c r="E308" s="268"/>
      <c r="F308" s="163"/>
      <c r="G308" s="269"/>
      <c r="H308" s="294"/>
      <c r="I308" s="295"/>
    </row>
    <row r="309">
      <c r="A309" s="291" t="s">
        <v>54</v>
      </c>
      <c r="B309" s="159"/>
      <c r="C309" s="178"/>
      <c r="D309" s="179"/>
      <c r="E309" s="268"/>
      <c r="F309" s="163"/>
      <c r="G309" s="269"/>
      <c r="H309" s="294"/>
      <c r="I309" s="295"/>
    </row>
    <row r="310">
      <c r="A310" s="291" t="s">
        <v>54</v>
      </c>
      <c r="B310" s="159"/>
      <c r="C310" s="178"/>
      <c r="D310" s="179"/>
      <c r="E310" s="268"/>
      <c r="F310" s="163"/>
      <c r="G310" s="269"/>
      <c r="H310" s="294"/>
      <c r="I310" s="295"/>
    </row>
    <row r="311">
      <c r="A311" s="291" t="s">
        <v>54</v>
      </c>
      <c r="B311" s="159"/>
      <c r="C311" s="178"/>
      <c r="D311" s="179"/>
      <c r="E311" s="268"/>
      <c r="F311" s="163"/>
      <c r="G311" s="269"/>
      <c r="H311" s="294"/>
      <c r="I311" s="295"/>
    </row>
    <row r="312">
      <c r="A312" s="291" t="s">
        <v>54</v>
      </c>
      <c r="B312" s="159"/>
      <c r="C312" s="178"/>
      <c r="D312" s="179"/>
      <c r="E312" s="268"/>
      <c r="F312" s="163"/>
      <c r="G312" s="269"/>
      <c r="H312" s="294"/>
      <c r="I312" s="295"/>
    </row>
    <row r="313">
      <c r="A313" s="291" t="s">
        <v>54</v>
      </c>
      <c r="B313" s="159"/>
      <c r="C313" s="178"/>
      <c r="D313" s="179"/>
      <c r="E313" s="268"/>
      <c r="F313" s="163"/>
      <c r="G313" s="269"/>
      <c r="H313" s="294"/>
      <c r="I313" s="295"/>
    </row>
    <row r="314">
      <c r="A314" s="291" t="s">
        <v>54</v>
      </c>
      <c r="B314" s="159"/>
      <c r="C314" s="178"/>
      <c r="D314" s="179"/>
      <c r="E314" s="268"/>
      <c r="F314" s="163"/>
      <c r="G314" s="269"/>
      <c r="H314" s="294"/>
      <c r="I314" s="295"/>
    </row>
    <row r="315">
      <c r="A315" s="291" t="s">
        <v>54</v>
      </c>
      <c r="B315" s="159"/>
      <c r="C315" s="178"/>
      <c r="D315" s="179"/>
      <c r="E315" s="268"/>
      <c r="F315" s="163"/>
      <c r="G315" s="269"/>
      <c r="H315" s="294"/>
      <c r="I315" s="295"/>
    </row>
    <row r="316">
      <c r="A316" s="291" t="s">
        <v>54</v>
      </c>
      <c r="B316" s="159"/>
      <c r="C316" s="178"/>
      <c r="D316" s="179"/>
      <c r="E316" s="268"/>
      <c r="F316" s="163"/>
      <c r="G316" s="269"/>
      <c r="H316" s="294"/>
      <c r="I316" s="295"/>
    </row>
    <row r="317">
      <c r="A317" s="291" t="s">
        <v>54</v>
      </c>
      <c r="B317" s="159"/>
      <c r="C317" s="178"/>
      <c r="D317" s="179"/>
      <c r="E317" s="268"/>
      <c r="F317" s="163"/>
      <c r="G317" s="269"/>
      <c r="H317" s="294"/>
      <c r="I317" s="295"/>
    </row>
    <row r="318">
      <c r="A318" s="291" t="s">
        <v>54</v>
      </c>
      <c r="B318" s="159"/>
      <c r="C318" s="178"/>
      <c r="D318" s="179"/>
      <c r="E318" s="268"/>
      <c r="F318" s="163"/>
      <c r="G318" s="269"/>
      <c r="H318" s="294"/>
      <c r="I318" s="295"/>
    </row>
    <row r="319">
      <c r="A319" s="291" t="s">
        <v>54</v>
      </c>
      <c r="B319" s="159"/>
      <c r="C319" s="178"/>
      <c r="D319" s="179"/>
      <c r="E319" s="268"/>
      <c r="F319" s="163"/>
      <c r="G319" s="269"/>
      <c r="H319" s="294"/>
      <c r="I319" s="295"/>
    </row>
    <row r="320">
      <c r="A320" s="291" t="s">
        <v>54</v>
      </c>
      <c r="B320" s="159"/>
      <c r="C320" s="178"/>
      <c r="D320" s="179"/>
      <c r="E320" s="268"/>
      <c r="F320" s="163"/>
      <c r="G320" s="269"/>
      <c r="H320" s="294"/>
      <c r="I320" s="295"/>
    </row>
    <row r="321">
      <c r="A321" s="291" t="s">
        <v>54</v>
      </c>
      <c r="B321" s="159"/>
      <c r="C321" s="178"/>
      <c r="D321" s="179"/>
      <c r="E321" s="268"/>
      <c r="F321" s="163"/>
      <c r="G321" s="163"/>
      <c r="H321" s="269"/>
      <c r="I321" s="176"/>
    </row>
    <row r="322">
      <c r="A322" s="291" t="s">
        <v>54</v>
      </c>
      <c r="B322" s="159"/>
      <c r="C322" s="178"/>
      <c r="D322" s="179"/>
      <c r="E322" s="268"/>
      <c r="F322" s="163"/>
      <c r="G322" s="163"/>
      <c r="H322" s="269"/>
      <c r="I322" s="176"/>
    </row>
    <row r="323">
      <c r="A323" s="291" t="s">
        <v>54</v>
      </c>
      <c r="B323" s="159"/>
      <c r="C323" s="178"/>
      <c r="D323" s="179"/>
      <c r="E323" s="268"/>
      <c r="F323" s="163"/>
      <c r="G323" s="163"/>
      <c r="H323" s="269"/>
      <c r="I323" s="176"/>
    </row>
    <row r="324">
      <c r="A324" s="291" t="s">
        <v>54</v>
      </c>
      <c r="B324" s="159"/>
      <c r="C324" s="178"/>
      <c r="D324" s="179"/>
      <c r="E324" s="268"/>
      <c r="F324" s="163"/>
      <c r="G324" s="163"/>
      <c r="H324" s="269"/>
      <c r="I324" s="176"/>
    </row>
    <row r="325">
      <c r="A325" s="291" t="s">
        <v>54</v>
      </c>
      <c r="B325" s="159"/>
      <c r="C325" s="178"/>
      <c r="D325" s="179"/>
      <c r="E325" s="268"/>
      <c r="F325" s="163"/>
      <c r="G325" s="163"/>
      <c r="H325" s="269"/>
      <c r="I325" s="176"/>
    </row>
    <row r="326">
      <c r="A326" s="291" t="s">
        <v>54</v>
      </c>
      <c r="B326" s="159"/>
      <c r="C326" s="178"/>
      <c r="D326" s="179"/>
      <c r="E326" s="268"/>
      <c r="F326" s="163"/>
      <c r="G326" s="163"/>
      <c r="H326" s="269"/>
      <c r="I326" s="176"/>
    </row>
    <row r="327">
      <c r="A327" s="291" t="s">
        <v>54</v>
      </c>
      <c r="B327" s="159"/>
      <c r="C327" s="178"/>
      <c r="D327" s="179"/>
      <c r="E327" s="268"/>
      <c r="F327" s="163"/>
      <c r="G327" s="163"/>
      <c r="H327" s="269"/>
      <c r="I327" s="176"/>
    </row>
    <row r="328">
      <c r="A328" s="291" t="s">
        <v>54</v>
      </c>
      <c r="B328" s="159"/>
      <c r="C328" s="178"/>
      <c r="D328" s="179"/>
      <c r="E328" s="268"/>
      <c r="F328" s="163"/>
      <c r="G328" s="163"/>
      <c r="H328" s="269"/>
      <c r="I328" s="176"/>
    </row>
    <row r="329">
      <c r="A329" s="291" t="s">
        <v>54</v>
      </c>
      <c r="B329" s="159"/>
      <c r="C329" s="178"/>
      <c r="D329" s="179"/>
      <c r="E329" s="268"/>
      <c r="F329" s="163"/>
      <c r="G329" s="163"/>
      <c r="H329" s="269"/>
      <c r="I329" s="176"/>
    </row>
    <row r="330">
      <c r="A330" s="291" t="s">
        <v>54</v>
      </c>
      <c r="B330" s="159"/>
      <c r="C330" s="178"/>
      <c r="D330" s="179"/>
      <c r="E330" s="268"/>
      <c r="F330" s="163"/>
      <c r="G330" s="163"/>
      <c r="H330" s="269"/>
      <c r="I330" s="176"/>
    </row>
    <row r="331">
      <c r="A331" s="291" t="s">
        <v>54</v>
      </c>
      <c r="B331" s="159"/>
      <c r="C331" s="178"/>
      <c r="D331" s="179"/>
      <c r="E331" s="268"/>
      <c r="F331" s="163"/>
      <c r="G331" s="163"/>
      <c r="H331" s="269"/>
      <c r="I331" s="176"/>
    </row>
    <row r="332">
      <c r="A332" s="291" t="s">
        <v>54</v>
      </c>
      <c r="B332" s="159"/>
      <c r="C332" s="178"/>
      <c r="D332" s="179"/>
      <c r="E332" s="268"/>
      <c r="F332" s="163"/>
      <c r="G332" s="163"/>
      <c r="H332" s="269"/>
      <c r="I332" s="176"/>
    </row>
    <row r="333">
      <c r="A333" s="291" t="s">
        <v>54</v>
      </c>
      <c r="B333" s="159"/>
      <c r="C333" s="178"/>
      <c r="D333" s="179"/>
      <c r="E333" s="268"/>
      <c r="F333" s="163"/>
      <c r="G333" s="163"/>
      <c r="H333" s="269"/>
      <c r="I333" s="176"/>
    </row>
    <row r="334">
      <c r="A334" s="291" t="s">
        <v>54</v>
      </c>
      <c r="B334" s="159"/>
      <c r="C334" s="178"/>
      <c r="D334" s="179"/>
      <c r="E334" s="268"/>
      <c r="F334" s="163"/>
      <c r="G334" s="163"/>
      <c r="H334" s="269"/>
      <c r="I334" s="176"/>
    </row>
    <row r="335">
      <c r="A335" s="291" t="s">
        <v>54</v>
      </c>
      <c r="B335" s="159"/>
      <c r="C335" s="178"/>
      <c r="D335" s="179"/>
      <c r="E335" s="268"/>
      <c r="F335" s="163"/>
      <c r="G335" s="163"/>
      <c r="H335" s="269"/>
      <c r="I335" s="176"/>
    </row>
    <row r="336">
      <c r="A336" s="291" t="s">
        <v>54</v>
      </c>
      <c r="B336" s="159"/>
      <c r="C336" s="178"/>
      <c r="D336" s="179"/>
      <c r="E336" s="268"/>
      <c r="F336" s="163"/>
      <c r="G336" s="163"/>
      <c r="H336" s="269"/>
      <c r="I336" s="176"/>
    </row>
    <row r="337">
      <c r="A337" s="297" t="s">
        <v>54</v>
      </c>
      <c r="B337" s="193"/>
      <c r="C337" s="194"/>
      <c r="D337" s="195"/>
      <c r="E337" s="270"/>
      <c r="F337" s="197"/>
      <c r="G337" s="197"/>
      <c r="H337" s="298"/>
      <c r="I337" s="299"/>
    </row>
    <row r="339">
      <c r="A339" s="286" t="s">
        <v>55</v>
      </c>
      <c r="B339" s="187" t="s">
        <v>86</v>
      </c>
      <c r="C339" s="188">
        <v>44076.0</v>
      </c>
      <c r="D339" s="189" t="s">
        <v>86</v>
      </c>
      <c r="E339" s="261">
        <v>120.0</v>
      </c>
      <c r="F339" s="153" t="s">
        <v>26</v>
      </c>
      <c r="G339" s="153" t="s">
        <v>14</v>
      </c>
      <c r="H339" s="153" t="s">
        <v>27</v>
      </c>
      <c r="I339" s="191" t="s">
        <v>16</v>
      </c>
    </row>
    <row r="340">
      <c r="A340" s="291" t="s">
        <v>55</v>
      </c>
      <c r="B340" s="159" t="s">
        <v>86</v>
      </c>
      <c r="C340" s="178">
        <v>44077.0</v>
      </c>
      <c r="D340" s="179" t="s">
        <v>28</v>
      </c>
      <c r="E340" s="268">
        <v>202.28</v>
      </c>
      <c r="F340" s="163" t="s">
        <v>14</v>
      </c>
      <c r="G340" s="163" t="s">
        <v>28</v>
      </c>
      <c r="H340" s="292" t="s">
        <v>16</v>
      </c>
      <c r="I340" s="293" t="s">
        <v>30</v>
      </c>
    </row>
    <row r="341">
      <c r="A341" s="291" t="s">
        <v>55</v>
      </c>
      <c r="B341" s="159" t="s">
        <v>86</v>
      </c>
      <c r="C341" s="178">
        <v>44084.0</v>
      </c>
      <c r="D341" s="179" t="s">
        <v>341</v>
      </c>
      <c r="E341" s="268">
        <v>520.0</v>
      </c>
      <c r="F341" s="163" t="s">
        <v>26</v>
      </c>
      <c r="G341" s="163" t="s">
        <v>14</v>
      </c>
      <c r="H341" s="292" t="s">
        <v>27</v>
      </c>
      <c r="I341" s="293" t="s">
        <v>16</v>
      </c>
    </row>
    <row r="342">
      <c r="A342" s="291" t="s">
        <v>55</v>
      </c>
      <c r="B342" s="159" t="s">
        <v>86</v>
      </c>
      <c r="C342" s="178">
        <v>44088.0</v>
      </c>
      <c r="D342" s="179" t="s">
        <v>28</v>
      </c>
      <c r="E342" s="268">
        <v>300.0</v>
      </c>
      <c r="F342" s="163" t="s">
        <v>14</v>
      </c>
      <c r="G342" s="163" t="s">
        <v>28</v>
      </c>
      <c r="H342" s="292" t="s">
        <v>16</v>
      </c>
      <c r="I342" s="293" t="s">
        <v>30</v>
      </c>
    </row>
    <row r="343">
      <c r="A343" s="291" t="s">
        <v>55</v>
      </c>
      <c r="B343" s="159" t="s">
        <v>86</v>
      </c>
      <c r="C343" s="178">
        <v>44088.0</v>
      </c>
      <c r="D343" s="179" t="s">
        <v>86</v>
      </c>
      <c r="E343" s="268">
        <v>143.0</v>
      </c>
      <c r="F343" s="163" t="s">
        <v>26</v>
      </c>
      <c r="G343" s="163" t="s">
        <v>14</v>
      </c>
      <c r="H343" s="292" t="s">
        <v>27</v>
      </c>
      <c r="I343" s="293" t="s">
        <v>16</v>
      </c>
    </row>
    <row r="344">
      <c r="A344" s="291" t="s">
        <v>55</v>
      </c>
      <c r="B344" s="159" t="s">
        <v>86</v>
      </c>
      <c r="C344" s="178">
        <v>44099.0</v>
      </c>
      <c r="D344" s="179" t="s">
        <v>86</v>
      </c>
      <c r="E344" s="268">
        <v>108.0</v>
      </c>
      <c r="F344" s="163" t="s">
        <v>26</v>
      </c>
      <c r="G344" s="163" t="s">
        <v>14</v>
      </c>
      <c r="H344" s="292" t="s">
        <v>27</v>
      </c>
      <c r="I344" s="293" t="s">
        <v>16</v>
      </c>
    </row>
    <row r="345">
      <c r="A345" s="291" t="s">
        <v>55</v>
      </c>
      <c r="B345" s="159" t="s">
        <v>86</v>
      </c>
      <c r="C345" s="178">
        <v>44103.0</v>
      </c>
      <c r="D345" s="179" t="s">
        <v>86</v>
      </c>
      <c r="E345" s="268">
        <v>120.0</v>
      </c>
      <c r="F345" s="163" t="s">
        <v>26</v>
      </c>
      <c r="G345" s="163" t="s">
        <v>14</v>
      </c>
      <c r="H345" s="292" t="s">
        <v>27</v>
      </c>
      <c r="I345" s="293" t="s">
        <v>16</v>
      </c>
    </row>
    <row r="346">
      <c r="A346" s="291" t="s">
        <v>55</v>
      </c>
      <c r="B346" s="159"/>
      <c r="C346" s="178"/>
      <c r="D346" s="179"/>
      <c r="E346" s="268"/>
      <c r="F346" s="163"/>
      <c r="G346" s="269"/>
      <c r="H346" s="294"/>
      <c r="I346" s="295"/>
    </row>
    <row r="347">
      <c r="A347" s="291" t="s">
        <v>55</v>
      </c>
      <c r="B347" s="159"/>
      <c r="C347" s="178"/>
      <c r="D347" s="179"/>
      <c r="E347" s="268"/>
      <c r="F347" s="163"/>
      <c r="G347" s="269"/>
      <c r="H347" s="294"/>
      <c r="I347" s="295"/>
    </row>
    <row r="348">
      <c r="A348" s="291" t="s">
        <v>55</v>
      </c>
      <c r="B348" s="159"/>
      <c r="C348" s="178"/>
      <c r="D348" s="179"/>
      <c r="E348" s="268"/>
      <c r="F348" s="163"/>
      <c r="G348" s="269"/>
      <c r="H348" s="294"/>
      <c r="I348" s="295"/>
    </row>
    <row r="349">
      <c r="A349" s="291" t="s">
        <v>55</v>
      </c>
      <c r="B349" s="159"/>
      <c r="C349" s="178"/>
      <c r="D349" s="179"/>
      <c r="E349" s="268"/>
      <c r="F349" s="163"/>
      <c r="G349" s="269"/>
      <c r="H349" s="294"/>
      <c r="I349" s="295"/>
    </row>
    <row r="350">
      <c r="A350" s="291" t="s">
        <v>55</v>
      </c>
      <c r="B350" s="159"/>
      <c r="C350" s="178"/>
      <c r="D350" s="179"/>
      <c r="E350" s="268"/>
      <c r="F350" s="163"/>
      <c r="G350" s="269"/>
      <c r="H350" s="294"/>
      <c r="I350" s="295"/>
    </row>
    <row r="351">
      <c r="A351" s="291" t="s">
        <v>55</v>
      </c>
      <c r="B351" s="159"/>
      <c r="C351" s="178"/>
      <c r="D351" s="179"/>
      <c r="E351" s="268"/>
      <c r="F351" s="163"/>
      <c r="G351" s="269"/>
      <c r="H351" s="294"/>
      <c r="I351" s="295"/>
    </row>
    <row r="352">
      <c r="A352" s="291" t="s">
        <v>55</v>
      </c>
      <c r="B352" s="159"/>
      <c r="C352" s="178"/>
      <c r="D352" s="179"/>
      <c r="E352" s="268"/>
      <c r="F352" s="163"/>
      <c r="G352" s="269"/>
      <c r="H352" s="294"/>
      <c r="I352" s="295"/>
    </row>
    <row r="353">
      <c r="A353" s="291" t="s">
        <v>55</v>
      </c>
      <c r="B353" s="159"/>
      <c r="C353" s="178"/>
      <c r="D353" s="179"/>
      <c r="E353" s="268"/>
      <c r="F353" s="163"/>
      <c r="G353" s="269"/>
      <c r="H353" s="294"/>
      <c r="I353" s="295"/>
    </row>
    <row r="354">
      <c r="A354" s="291" t="s">
        <v>55</v>
      </c>
      <c r="B354" s="159"/>
      <c r="C354" s="178"/>
      <c r="D354" s="179"/>
      <c r="E354" s="268"/>
      <c r="F354" s="163"/>
      <c r="G354" s="269"/>
      <c r="H354" s="294"/>
      <c r="I354" s="295"/>
    </row>
    <row r="355">
      <c r="A355" s="291" t="s">
        <v>55</v>
      </c>
      <c r="B355" s="159"/>
      <c r="C355" s="178"/>
      <c r="D355" s="179"/>
      <c r="E355" s="268"/>
      <c r="F355" s="163"/>
      <c r="G355" s="269"/>
      <c r="H355" s="294"/>
      <c r="I355" s="295"/>
    </row>
    <row r="356">
      <c r="A356" s="291" t="s">
        <v>55</v>
      </c>
      <c r="B356" s="159"/>
      <c r="C356" s="178"/>
      <c r="D356" s="179"/>
      <c r="E356" s="268"/>
      <c r="F356" s="163"/>
      <c r="G356" s="269"/>
      <c r="H356" s="294"/>
      <c r="I356" s="295"/>
    </row>
    <row r="357">
      <c r="A357" s="291" t="s">
        <v>55</v>
      </c>
      <c r="B357" s="159"/>
      <c r="C357" s="178"/>
      <c r="D357" s="179"/>
      <c r="E357" s="268"/>
      <c r="F357" s="163"/>
      <c r="G357" s="269"/>
      <c r="H357" s="294"/>
      <c r="I357" s="295"/>
    </row>
    <row r="358">
      <c r="A358" s="291" t="s">
        <v>55</v>
      </c>
      <c r="B358" s="159"/>
      <c r="C358" s="178"/>
      <c r="D358" s="179"/>
      <c r="E358" s="268"/>
      <c r="F358" s="163"/>
      <c r="G358" s="269"/>
      <c r="H358" s="294"/>
      <c r="I358" s="295"/>
    </row>
    <row r="359">
      <c r="A359" s="291" t="s">
        <v>55</v>
      </c>
      <c r="B359" s="159"/>
      <c r="C359" s="178"/>
      <c r="D359" s="179"/>
      <c r="E359" s="268"/>
      <c r="F359" s="163"/>
      <c r="G359" s="269"/>
      <c r="H359" s="294"/>
      <c r="I359" s="295"/>
    </row>
    <row r="360">
      <c r="A360" s="291" t="s">
        <v>55</v>
      </c>
      <c r="B360" s="159"/>
      <c r="C360" s="178"/>
      <c r="D360" s="179"/>
      <c r="E360" s="268"/>
      <c r="F360" s="163"/>
      <c r="G360" s="269"/>
      <c r="H360" s="294"/>
      <c r="I360" s="295"/>
    </row>
    <row r="361">
      <c r="A361" s="291" t="s">
        <v>55</v>
      </c>
      <c r="B361" s="159"/>
      <c r="C361" s="178"/>
      <c r="D361" s="179"/>
      <c r="E361" s="268"/>
      <c r="F361" s="163"/>
      <c r="G361" s="269"/>
      <c r="H361" s="294"/>
      <c r="I361" s="295"/>
    </row>
    <row r="362">
      <c r="A362" s="291" t="s">
        <v>55</v>
      </c>
      <c r="B362" s="159"/>
      <c r="C362" s="178"/>
      <c r="D362" s="179"/>
      <c r="E362" s="268"/>
      <c r="F362" s="163"/>
      <c r="G362" s="269"/>
      <c r="H362" s="294"/>
      <c r="I362" s="295"/>
    </row>
    <row r="363">
      <c r="A363" s="291" t="s">
        <v>55</v>
      </c>
      <c r="B363" s="159"/>
      <c r="C363" s="178"/>
      <c r="D363" s="179"/>
      <c r="E363" s="268"/>
      <c r="F363" s="163"/>
      <c r="G363" s="163"/>
      <c r="H363" s="269"/>
      <c r="I363" s="176"/>
    </row>
    <row r="364">
      <c r="A364" s="291" t="s">
        <v>55</v>
      </c>
      <c r="B364" s="159"/>
      <c r="C364" s="178"/>
      <c r="D364" s="179"/>
      <c r="E364" s="268"/>
      <c r="F364" s="163"/>
      <c r="G364" s="163"/>
      <c r="H364" s="269"/>
      <c r="I364" s="176"/>
    </row>
    <row r="365">
      <c r="A365" s="291" t="s">
        <v>55</v>
      </c>
      <c r="B365" s="159"/>
      <c r="C365" s="178"/>
      <c r="D365" s="179"/>
      <c r="E365" s="268"/>
      <c r="F365" s="163"/>
      <c r="G365" s="163"/>
      <c r="H365" s="269"/>
      <c r="I365" s="176"/>
    </row>
    <row r="366">
      <c r="A366" s="291" t="s">
        <v>55</v>
      </c>
      <c r="B366" s="159"/>
      <c r="C366" s="178"/>
      <c r="D366" s="179"/>
      <c r="E366" s="268"/>
      <c r="F366" s="163"/>
      <c r="G366" s="163"/>
      <c r="H366" s="269"/>
      <c r="I366" s="176"/>
    </row>
    <row r="367">
      <c r="A367" s="291" t="s">
        <v>55</v>
      </c>
      <c r="B367" s="159"/>
      <c r="C367" s="178"/>
      <c r="D367" s="179"/>
      <c r="E367" s="268"/>
      <c r="F367" s="163"/>
      <c r="G367" s="163"/>
      <c r="H367" s="269"/>
      <c r="I367" s="176"/>
    </row>
    <row r="368">
      <c r="A368" s="291" t="s">
        <v>55</v>
      </c>
      <c r="B368" s="159"/>
      <c r="C368" s="178"/>
      <c r="D368" s="179"/>
      <c r="E368" s="268"/>
      <c r="F368" s="163"/>
      <c r="G368" s="163"/>
      <c r="H368" s="269"/>
      <c r="I368" s="176"/>
    </row>
    <row r="369">
      <c r="A369" s="291" t="s">
        <v>55</v>
      </c>
      <c r="B369" s="159"/>
      <c r="C369" s="178"/>
      <c r="D369" s="179"/>
      <c r="E369" s="268"/>
      <c r="F369" s="163"/>
      <c r="G369" s="163"/>
      <c r="H369" s="269"/>
      <c r="I369" s="176"/>
    </row>
    <row r="370">
      <c r="A370" s="291" t="s">
        <v>55</v>
      </c>
      <c r="B370" s="159"/>
      <c r="C370" s="178"/>
      <c r="D370" s="179"/>
      <c r="E370" s="268"/>
      <c r="F370" s="163"/>
      <c r="G370" s="163"/>
      <c r="H370" s="269"/>
      <c r="I370" s="176"/>
    </row>
    <row r="371">
      <c r="A371" s="291" t="s">
        <v>55</v>
      </c>
      <c r="B371" s="159"/>
      <c r="C371" s="178"/>
      <c r="D371" s="179"/>
      <c r="E371" s="268"/>
      <c r="F371" s="163"/>
      <c r="G371" s="163"/>
      <c r="H371" s="269"/>
      <c r="I371" s="176"/>
    </row>
    <row r="372">
      <c r="A372" s="291" t="s">
        <v>55</v>
      </c>
      <c r="B372" s="159"/>
      <c r="C372" s="178"/>
      <c r="D372" s="179"/>
      <c r="E372" s="268"/>
      <c r="F372" s="163"/>
      <c r="G372" s="163"/>
      <c r="H372" s="269"/>
      <c r="I372" s="176"/>
    </row>
    <row r="373">
      <c r="A373" s="291" t="s">
        <v>55</v>
      </c>
      <c r="B373" s="159"/>
      <c r="C373" s="178"/>
      <c r="D373" s="179"/>
      <c r="E373" s="268"/>
      <c r="F373" s="163"/>
      <c r="G373" s="163"/>
      <c r="H373" s="269"/>
      <c r="I373" s="176"/>
    </row>
    <row r="374">
      <c r="A374" s="291" t="s">
        <v>55</v>
      </c>
      <c r="B374" s="159"/>
      <c r="C374" s="178"/>
      <c r="D374" s="179"/>
      <c r="E374" s="268"/>
      <c r="F374" s="163"/>
      <c r="G374" s="163"/>
      <c r="H374" s="269"/>
      <c r="I374" s="176"/>
    </row>
    <row r="375">
      <c r="A375" s="291" t="s">
        <v>55</v>
      </c>
      <c r="B375" s="159"/>
      <c r="C375" s="178"/>
      <c r="D375" s="179"/>
      <c r="E375" s="268"/>
      <c r="F375" s="163"/>
      <c r="G375" s="163"/>
      <c r="H375" s="269"/>
      <c r="I375" s="176"/>
    </row>
    <row r="376">
      <c r="A376" s="291" t="s">
        <v>55</v>
      </c>
      <c r="B376" s="159"/>
      <c r="C376" s="178"/>
      <c r="D376" s="179"/>
      <c r="E376" s="268"/>
      <c r="F376" s="163"/>
      <c r="G376" s="163"/>
      <c r="H376" s="269"/>
      <c r="I376" s="176"/>
    </row>
    <row r="377">
      <c r="A377" s="291" t="s">
        <v>55</v>
      </c>
      <c r="B377" s="159"/>
      <c r="C377" s="178"/>
      <c r="D377" s="179"/>
      <c r="E377" s="268"/>
      <c r="F377" s="163"/>
      <c r="G377" s="163"/>
      <c r="H377" s="269"/>
      <c r="I377" s="176"/>
    </row>
    <row r="378">
      <c r="A378" s="291" t="s">
        <v>55</v>
      </c>
      <c r="B378" s="159"/>
      <c r="C378" s="178"/>
      <c r="D378" s="179"/>
      <c r="E378" s="268"/>
      <c r="F378" s="163"/>
      <c r="G378" s="163"/>
      <c r="H378" s="269"/>
      <c r="I378" s="176"/>
    </row>
    <row r="379">
      <c r="A379" s="297" t="s">
        <v>55</v>
      </c>
      <c r="B379" s="193"/>
      <c r="C379" s="194"/>
      <c r="D379" s="195"/>
      <c r="E379" s="270"/>
      <c r="F379" s="197"/>
      <c r="G379" s="197"/>
      <c r="H379" s="298"/>
      <c r="I379" s="299"/>
    </row>
    <row r="381">
      <c r="A381" s="286" t="s">
        <v>56</v>
      </c>
      <c r="B381" s="187" t="s">
        <v>86</v>
      </c>
      <c r="C381" s="188">
        <v>44109.0</v>
      </c>
      <c r="D381" s="189" t="s">
        <v>342</v>
      </c>
      <c r="E381" s="261">
        <v>146.51</v>
      </c>
      <c r="F381" s="153" t="s">
        <v>26</v>
      </c>
      <c r="G381" s="153" t="s">
        <v>14</v>
      </c>
      <c r="H381" s="153" t="s">
        <v>27</v>
      </c>
      <c r="I381" s="191" t="s">
        <v>16</v>
      </c>
    </row>
    <row r="382">
      <c r="A382" s="291" t="s">
        <v>56</v>
      </c>
      <c r="B382" s="159" t="s">
        <v>86</v>
      </c>
      <c r="C382" s="178">
        <v>44109.0</v>
      </c>
      <c r="D382" s="179" t="s">
        <v>342</v>
      </c>
      <c r="E382" s="268">
        <v>72.0</v>
      </c>
      <c r="F382" s="163" t="s">
        <v>26</v>
      </c>
      <c r="G382" s="163" t="s">
        <v>14</v>
      </c>
      <c r="H382" s="292" t="s">
        <v>27</v>
      </c>
      <c r="I382" s="293" t="s">
        <v>16</v>
      </c>
    </row>
    <row r="383">
      <c r="A383" s="291" t="s">
        <v>56</v>
      </c>
      <c r="B383" s="159" t="s">
        <v>86</v>
      </c>
      <c r="C383" s="178">
        <v>44113.0</v>
      </c>
      <c r="D383" s="179" t="s">
        <v>29</v>
      </c>
      <c r="E383" s="268">
        <v>500.0</v>
      </c>
      <c r="F383" s="163" t="s">
        <v>14</v>
      </c>
      <c r="G383" s="163" t="s">
        <v>28</v>
      </c>
      <c r="H383" s="292" t="s">
        <v>16</v>
      </c>
      <c r="I383" s="293" t="s">
        <v>30</v>
      </c>
    </row>
    <row r="384">
      <c r="A384" s="291" t="s">
        <v>56</v>
      </c>
      <c r="B384" s="159" t="s">
        <v>86</v>
      </c>
      <c r="C384" s="178">
        <v>44113.0</v>
      </c>
      <c r="D384" s="179" t="s">
        <v>342</v>
      </c>
      <c r="E384" s="268">
        <v>520.0</v>
      </c>
      <c r="F384" s="163" t="s">
        <v>26</v>
      </c>
      <c r="G384" s="163" t="s">
        <v>14</v>
      </c>
      <c r="H384" s="292" t="s">
        <v>27</v>
      </c>
      <c r="I384" s="293" t="s">
        <v>16</v>
      </c>
    </row>
    <row r="385">
      <c r="A385" s="291" t="s">
        <v>56</v>
      </c>
      <c r="B385" s="159" t="s">
        <v>86</v>
      </c>
      <c r="C385" s="178">
        <v>44123.0</v>
      </c>
      <c r="D385" s="179" t="s">
        <v>342</v>
      </c>
      <c r="E385" s="268">
        <v>132.0</v>
      </c>
      <c r="F385" s="163" t="s">
        <v>26</v>
      </c>
      <c r="G385" s="163" t="s">
        <v>14</v>
      </c>
      <c r="H385" s="292" t="s">
        <v>27</v>
      </c>
      <c r="I385" s="293" t="s">
        <v>16</v>
      </c>
    </row>
    <row r="386">
      <c r="A386" s="291" t="s">
        <v>56</v>
      </c>
      <c r="B386" s="159" t="s">
        <v>86</v>
      </c>
      <c r="C386" s="178">
        <v>44125.0</v>
      </c>
      <c r="D386" s="179" t="s">
        <v>342</v>
      </c>
      <c r="E386" s="268">
        <v>151.4</v>
      </c>
      <c r="F386" s="163" t="s">
        <v>26</v>
      </c>
      <c r="G386" s="163" t="s">
        <v>14</v>
      </c>
      <c r="H386" s="292" t="s">
        <v>27</v>
      </c>
      <c r="I386" s="293" t="s">
        <v>16</v>
      </c>
    </row>
    <row r="387">
      <c r="A387" s="291" t="s">
        <v>56</v>
      </c>
      <c r="B387" s="159" t="s">
        <v>86</v>
      </c>
      <c r="C387" s="178">
        <v>44127.0</v>
      </c>
      <c r="D387" s="179" t="s">
        <v>342</v>
      </c>
      <c r="E387" s="268">
        <v>120.0</v>
      </c>
      <c r="F387" s="163" t="s">
        <v>26</v>
      </c>
      <c r="G387" s="163" t="s">
        <v>14</v>
      </c>
      <c r="H387" s="292" t="s">
        <v>27</v>
      </c>
      <c r="I387" s="293" t="s">
        <v>16</v>
      </c>
    </row>
    <row r="388">
      <c r="A388" s="291" t="s">
        <v>56</v>
      </c>
      <c r="B388" s="159"/>
      <c r="C388" s="178"/>
      <c r="D388" s="179"/>
      <c r="E388" s="268"/>
      <c r="F388" s="163"/>
      <c r="G388" s="269"/>
      <c r="H388" s="294"/>
      <c r="I388" s="295"/>
    </row>
    <row r="389">
      <c r="A389" s="291" t="s">
        <v>56</v>
      </c>
      <c r="B389" s="159"/>
      <c r="C389" s="178"/>
      <c r="D389" s="179"/>
      <c r="E389" s="268"/>
      <c r="F389" s="163"/>
      <c r="G389" s="269"/>
      <c r="H389" s="294"/>
      <c r="I389" s="295"/>
    </row>
    <row r="390">
      <c r="A390" s="291" t="s">
        <v>56</v>
      </c>
      <c r="B390" s="159"/>
      <c r="C390" s="178"/>
      <c r="D390" s="179"/>
      <c r="E390" s="268"/>
      <c r="F390" s="163"/>
      <c r="G390" s="269"/>
      <c r="H390" s="294"/>
      <c r="I390" s="295"/>
    </row>
    <row r="391">
      <c r="A391" s="291" t="s">
        <v>56</v>
      </c>
      <c r="B391" s="159"/>
      <c r="C391" s="178"/>
      <c r="D391" s="179"/>
      <c r="E391" s="268"/>
      <c r="F391" s="163"/>
      <c r="G391" s="269"/>
      <c r="H391" s="294"/>
      <c r="I391" s="295"/>
    </row>
    <row r="392">
      <c r="A392" s="291" t="s">
        <v>56</v>
      </c>
      <c r="B392" s="159"/>
      <c r="C392" s="178"/>
      <c r="D392" s="179"/>
      <c r="E392" s="268"/>
      <c r="F392" s="163"/>
      <c r="G392" s="269"/>
      <c r="H392" s="294"/>
      <c r="I392" s="295"/>
    </row>
    <row r="393">
      <c r="A393" s="291" t="s">
        <v>56</v>
      </c>
      <c r="B393" s="159"/>
      <c r="C393" s="178"/>
      <c r="D393" s="179"/>
      <c r="E393" s="268"/>
      <c r="F393" s="163"/>
      <c r="G393" s="269"/>
      <c r="H393" s="294"/>
      <c r="I393" s="295"/>
    </row>
    <row r="394">
      <c r="A394" s="291" t="s">
        <v>56</v>
      </c>
      <c r="B394" s="159"/>
      <c r="C394" s="178"/>
      <c r="D394" s="179"/>
      <c r="E394" s="268"/>
      <c r="F394" s="163"/>
      <c r="G394" s="269"/>
      <c r="H394" s="294"/>
      <c r="I394" s="295"/>
    </row>
    <row r="395">
      <c r="A395" s="291" t="s">
        <v>56</v>
      </c>
      <c r="B395" s="159"/>
      <c r="C395" s="178"/>
      <c r="D395" s="179"/>
      <c r="E395" s="268"/>
      <c r="F395" s="163"/>
      <c r="G395" s="269"/>
      <c r="H395" s="294"/>
      <c r="I395" s="295"/>
    </row>
    <row r="396">
      <c r="A396" s="291" t="s">
        <v>56</v>
      </c>
      <c r="B396" s="159"/>
      <c r="C396" s="178"/>
      <c r="D396" s="179"/>
      <c r="E396" s="268"/>
      <c r="F396" s="163"/>
      <c r="G396" s="269"/>
      <c r="H396" s="294"/>
      <c r="I396" s="295"/>
    </row>
    <row r="397">
      <c r="A397" s="291" t="s">
        <v>56</v>
      </c>
      <c r="B397" s="159"/>
      <c r="C397" s="178"/>
      <c r="D397" s="179"/>
      <c r="E397" s="268"/>
      <c r="F397" s="163"/>
      <c r="G397" s="269"/>
      <c r="H397" s="294"/>
      <c r="I397" s="295"/>
    </row>
    <row r="398">
      <c r="A398" s="291" t="s">
        <v>56</v>
      </c>
      <c r="B398" s="159"/>
      <c r="C398" s="178"/>
      <c r="D398" s="179"/>
      <c r="E398" s="268"/>
      <c r="F398" s="163"/>
      <c r="G398" s="269"/>
      <c r="H398" s="294"/>
      <c r="I398" s="295"/>
    </row>
    <row r="399">
      <c r="A399" s="291" t="s">
        <v>56</v>
      </c>
      <c r="B399" s="159"/>
      <c r="C399" s="178"/>
      <c r="D399" s="179"/>
      <c r="E399" s="268"/>
      <c r="F399" s="163"/>
      <c r="G399" s="269"/>
      <c r="H399" s="294"/>
      <c r="I399" s="295"/>
    </row>
    <row r="400">
      <c r="A400" s="291" t="s">
        <v>56</v>
      </c>
      <c r="B400" s="159"/>
      <c r="C400" s="178"/>
      <c r="D400" s="179"/>
      <c r="E400" s="268"/>
      <c r="F400" s="163"/>
      <c r="G400" s="269"/>
      <c r="H400" s="294"/>
      <c r="I400" s="295"/>
    </row>
    <row r="401">
      <c r="A401" s="291" t="s">
        <v>56</v>
      </c>
      <c r="B401" s="159"/>
      <c r="C401" s="178"/>
      <c r="D401" s="179"/>
      <c r="E401" s="268"/>
      <c r="F401" s="163"/>
      <c r="G401" s="269"/>
      <c r="H401" s="294"/>
      <c r="I401" s="295"/>
    </row>
    <row r="402">
      <c r="A402" s="291" t="s">
        <v>56</v>
      </c>
      <c r="B402" s="159"/>
      <c r="C402" s="178"/>
      <c r="D402" s="179"/>
      <c r="E402" s="268"/>
      <c r="F402" s="163"/>
      <c r="G402" s="269"/>
      <c r="H402" s="294"/>
      <c r="I402" s="295"/>
    </row>
    <row r="403">
      <c r="A403" s="291" t="s">
        <v>56</v>
      </c>
      <c r="B403" s="159"/>
      <c r="C403" s="178"/>
      <c r="D403" s="179"/>
      <c r="E403" s="268"/>
      <c r="F403" s="163"/>
      <c r="G403" s="269"/>
      <c r="H403" s="294"/>
      <c r="I403" s="295"/>
    </row>
    <row r="404">
      <c r="A404" s="291" t="s">
        <v>56</v>
      </c>
      <c r="B404" s="159"/>
      <c r="C404" s="178"/>
      <c r="D404" s="179"/>
      <c r="E404" s="268"/>
      <c r="F404" s="163"/>
      <c r="G404" s="269"/>
      <c r="H404" s="294"/>
      <c r="I404" s="295"/>
    </row>
    <row r="405">
      <c r="A405" s="291" t="s">
        <v>56</v>
      </c>
      <c r="B405" s="159"/>
      <c r="C405" s="178"/>
      <c r="D405" s="179"/>
      <c r="E405" s="268"/>
      <c r="F405" s="163"/>
      <c r="G405" s="163"/>
      <c r="H405" s="269"/>
      <c r="I405" s="176"/>
    </row>
    <row r="406">
      <c r="A406" s="291" t="s">
        <v>56</v>
      </c>
      <c r="B406" s="159"/>
      <c r="C406" s="178"/>
      <c r="D406" s="179"/>
      <c r="E406" s="268"/>
      <c r="F406" s="163"/>
      <c r="G406" s="163"/>
      <c r="H406" s="269"/>
      <c r="I406" s="176"/>
    </row>
    <row r="407">
      <c r="A407" s="291" t="s">
        <v>56</v>
      </c>
      <c r="B407" s="159"/>
      <c r="C407" s="178"/>
      <c r="D407" s="179"/>
      <c r="E407" s="268"/>
      <c r="F407" s="163"/>
      <c r="G407" s="163"/>
      <c r="H407" s="269"/>
      <c r="I407" s="176"/>
    </row>
    <row r="408">
      <c r="A408" s="291" t="s">
        <v>56</v>
      </c>
      <c r="B408" s="159"/>
      <c r="C408" s="178"/>
      <c r="D408" s="179"/>
      <c r="E408" s="268"/>
      <c r="F408" s="163"/>
      <c r="G408" s="163"/>
      <c r="H408" s="269"/>
      <c r="I408" s="176"/>
    </row>
    <row r="409">
      <c r="A409" s="291" t="s">
        <v>56</v>
      </c>
      <c r="B409" s="159"/>
      <c r="C409" s="178"/>
      <c r="D409" s="179"/>
      <c r="E409" s="268"/>
      <c r="F409" s="163"/>
      <c r="G409" s="163"/>
      <c r="H409" s="269"/>
      <c r="I409" s="176"/>
    </row>
    <row r="410">
      <c r="A410" s="291" t="s">
        <v>56</v>
      </c>
      <c r="B410" s="159"/>
      <c r="C410" s="178"/>
      <c r="D410" s="179"/>
      <c r="E410" s="268"/>
      <c r="F410" s="163"/>
      <c r="G410" s="163"/>
      <c r="H410" s="269"/>
      <c r="I410" s="176"/>
    </row>
    <row r="411">
      <c r="A411" s="291" t="s">
        <v>56</v>
      </c>
      <c r="B411" s="159"/>
      <c r="C411" s="178"/>
      <c r="D411" s="179"/>
      <c r="E411" s="268"/>
      <c r="F411" s="163"/>
      <c r="G411" s="163"/>
      <c r="H411" s="269"/>
      <c r="I411" s="176"/>
    </row>
    <row r="412">
      <c r="A412" s="291" t="s">
        <v>56</v>
      </c>
      <c r="B412" s="159"/>
      <c r="C412" s="178"/>
      <c r="D412" s="179"/>
      <c r="E412" s="268"/>
      <c r="F412" s="163"/>
      <c r="G412" s="163"/>
      <c r="H412" s="269"/>
      <c r="I412" s="176"/>
    </row>
    <row r="413">
      <c r="A413" s="291" t="s">
        <v>56</v>
      </c>
      <c r="B413" s="159"/>
      <c r="C413" s="178"/>
      <c r="D413" s="179"/>
      <c r="E413" s="268"/>
      <c r="F413" s="163"/>
      <c r="G413" s="163"/>
      <c r="H413" s="269"/>
      <c r="I413" s="176"/>
    </row>
    <row r="414">
      <c r="A414" s="291" t="s">
        <v>56</v>
      </c>
      <c r="B414" s="159"/>
      <c r="C414" s="178"/>
      <c r="D414" s="179"/>
      <c r="E414" s="268"/>
      <c r="F414" s="163"/>
      <c r="G414" s="163"/>
      <c r="H414" s="269"/>
      <c r="I414" s="176"/>
    </row>
    <row r="415">
      <c r="A415" s="291" t="s">
        <v>56</v>
      </c>
      <c r="B415" s="159"/>
      <c r="C415" s="178"/>
      <c r="D415" s="179"/>
      <c r="E415" s="268"/>
      <c r="F415" s="163"/>
      <c r="G415" s="163"/>
      <c r="H415" s="269"/>
      <c r="I415" s="176"/>
    </row>
    <row r="416">
      <c r="A416" s="291" t="s">
        <v>56</v>
      </c>
      <c r="B416" s="159"/>
      <c r="C416" s="178"/>
      <c r="D416" s="179"/>
      <c r="E416" s="268"/>
      <c r="F416" s="163"/>
      <c r="G416" s="163"/>
      <c r="H416" s="269"/>
      <c r="I416" s="176"/>
    </row>
    <row r="417">
      <c r="A417" s="291" t="s">
        <v>56</v>
      </c>
      <c r="B417" s="159"/>
      <c r="C417" s="178"/>
      <c r="D417" s="179"/>
      <c r="E417" s="268"/>
      <c r="F417" s="163"/>
      <c r="G417" s="163"/>
      <c r="H417" s="269"/>
      <c r="I417" s="176"/>
    </row>
    <row r="418">
      <c r="A418" s="291" t="s">
        <v>56</v>
      </c>
      <c r="B418" s="159"/>
      <c r="C418" s="178"/>
      <c r="D418" s="179"/>
      <c r="E418" s="268"/>
      <c r="F418" s="163"/>
      <c r="G418" s="163"/>
      <c r="H418" s="269"/>
      <c r="I418" s="176"/>
    </row>
    <row r="419">
      <c r="A419" s="291" t="s">
        <v>56</v>
      </c>
      <c r="B419" s="159"/>
      <c r="C419" s="178"/>
      <c r="D419" s="179"/>
      <c r="E419" s="268"/>
      <c r="F419" s="163"/>
      <c r="G419" s="163"/>
      <c r="H419" s="269"/>
      <c r="I419" s="176"/>
    </row>
    <row r="420">
      <c r="A420" s="291" t="s">
        <v>56</v>
      </c>
      <c r="B420" s="159"/>
      <c r="C420" s="178"/>
      <c r="D420" s="179"/>
      <c r="E420" s="268"/>
      <c r="F420" s="163"/>
      <c r="G420" s="163"/>
      <c r="H420" s="269"/>
      <c r="I420" s="176"/>
    </row>
    <row r="421">
      <c r="A421" s="297" t="s">
        <v>56</v>
      </c>
      <c r="B421" s="193"/>
      <c r="C421" s="194"/>
      <c r="D421" s="195"/>
      <c r="E421" s="270"/>
      <c r="F421" s="197"/>
      <c r="G421" s="197"/>
      <c r="H421" s="298"/>
      <c r="I421" s="299"/>
    </row>
    <row r="423">
      <c r="A423" s="286" t="s">
        <v>57</v>
      </c>
      <c r="B423" s="187" t="s">
        <v>86</v>
      </c>
      <c r="C423" s="188">
        <v>44138.0</v>
      </c>
      <c r="D423" s="189" t="s">
        <v>343</v>
      </c>
      <c r="E423" s="261">
        <v>141.66</v>
      </c>
      <c r="F423" s="153" t="s">
        <v>26</v>
      </c>
      <c r="G423" s="153" t="s">
        <v>14</v>
      </c>
      <c r="H423" s="153" t="s">
        <v>27</v>
      </c>
      <c r="I423" s="191" t="s">
        <v>16</v>
      </c>
    </row>
    <row r="424">
      <c r="A424" s="291" t="s">
        <v>57</v>
      </c>
      <c r="B424" s="159" t="s">
        <v>86</v>
      </c>
      <c r="C424" s="178">
        <v>44139.0</v>
      </c>
      <c r="D424" s="179" t="s">
        <v>343</v>
      </c>
      <c r="E424" s="268">
        <v>400.0</v>
      </c>
      <c r="F424" s="163" t="s">
        <v>26</v>
      </c>
      <c r="G424" s="163" t="s">
        <v>14</v>
      </c>
      <c r="H424" s="292" t="s">
        <v>27</v>
      </c>
      <c r="I424" s="293" t="s">
        <v>16</v>
      </c>
    </row>
    <row r="425">
      <c r="A425" s="291" t="s">
        <v>57</v>
      </c>
      <c r="B425" s="159" t="s">
        <v>86</v>
      </c>
      <c r="C425" s="178">
        <v>44141.0</v>
      </c>
      <c r="D425" s="179" t="s">
        <v>343</v>
      </c>
      <c r="E425" s="268">
        <v>196.0</v>
      </c>
      <c r="F425" s="163" t="s">
        <v>26</v>
      </c>
      <c r="G425" s="163" t="s">
        <v>14</v>
      </c>
      <c r="H425" s="292" t="s">
        <v>27</v>
      </c>
      <c r="I425" s="293" t="s">
        <v>16</v>
      </c>
    </row>
    <row r="426">
      <c r="A426" s="291" t="s">
        <v>57</v>
      </c>
      <c r="B426" s="159" t="s">
        <v>86</v>
      </c>
      <c r="C426" s="178">
        <v>44144.0</v>
      </c>
      <c r="D426" s="179" t="s">
        <v>343</v>
      </c>
      <c r="E426" s="268">
        <v>108.76</v>
      </c>
      <c r="F426" s="163" t="s">
        <v>26</v>
      </c>
      <c r="G426" s="163" t="s">
        <v>14</v>
      </c>
      <c r="H426" s="292" t="s">
        <v>27</v>
      </c>
      <c r="I426" s="293" t="s">
        <v>16</v>
      </c>
    </row>
    <row r="427">
      <c r="A427" s="291" t="s">
        <v>57</v>
      </c>
      <c r="B427" s="159" t="s">
        <v>86</v>
      </c>
      <c r="C427" s="178">
        <v>44149.0</v>
      </c>
      <c r="D427" s="179" t="s">
        <v>344</v>
      </c>
      <c r="E427" s="268">
        <v>270.0</v>
      </c>
      <c r="F427" s="163" t="s">
        <v>26</v>
      </c>
      <c r="G427" s="163" t="s">
        <v>14</v>
      </c>
      <c r="H427" s="292" t="s">
        <v>27</v>
      </c>
      <c r="I427" s="293" t="s">
        <v>16</v>
      </c>
    </row>
    <row r="428">
      <c r="A428" s="291" t="s">
        <v>57</v>
      </c>
      <c r="B428" s="159" t="s">
        <v>86</v>
      </c>
      <c r="C428" s="178">
        <v>44153.0</v>
      </c>
      <c r="D428" s="179" t="s">
        <v>28</v>
      </c>
      <c r="E428" s="268">
        <v>250.0</v>
      </c>
      <c r="F428" s="163" t="s">
        <v>14</v>
      </c>
      <c r="G428" s="163" t="s">
        <v>28</v>
      </c>
      <c r="H428" s="292" t="s">
        <v>16</v>
      </c>
      <c r="I428" s="293" t="s">
        <v>30</v>
      </c>
    </row>
    <row r="429">
      <c r="A429" s="291" t="s">
        <v>57</v>
      </c>
      <c r="B429" s="159" t="s">
        <v>86</v>
      </c>
      <c r="C429" s="178">
        <v>44155.0</v>
      </c>
      <c r="D429" s="179" t="s">
        <v>343</v>
      </c>
      <c r="E429" s="268">
        <v>120.0</v>
      </c>
      <c r="F429" s="163" t="s">
        <v>26</v>
      </c>
      <c r="G429" s="163" t="s">
        <v>14</v>
      </c>
      <c r="H429" s="292" t="s">
        <v>27</v>
      </c>
      <c r="I429" s="293" t="s">
        <v>16</v>
      </c>
    </row>
    <row r="430">
      <c r="A430" s="291" t="s">
        <v>57</v>
      </c>
      <c r="B430" s="159" t="s">
        <v>86</v>
      </c>
      <c r="C430" s="178">
        <v>44160.0</v>
      </c>
      <c r="D430" s="179" t="s">
        <v>28</v>
      </c>
      <c r="E430" s="268">
        <v>50.0</v>
      </c>
      <c r="F430" s="163" t="s">
        <v>14</v>
      </c>
      <c r="G430" s="163" t="s">
        <v>28</v>
      </c>
      <c r="H430" s="292" t="s">
        <v>16</v>
      </c>
      <c r="I430" s="293" t="s">
        <v>30</v>
      </c>
    </row>
    <row r="431">
      <c r="A431" s="291" t="s">
        <v>57</v>
      </c>
      <c r="B431" s="159" t="s">
        <v>79</v>
      </c>
      <c r="C431" s="178">
        <v>44160.0</v>
      </c>
      <c r="D431" s="179" t="s">
        <v>218</v>
      </c>
      <c r="E431" s="268">
        <v>50.0</v>
      </c>
      <c r="F431" s="163" t="s">
        <v>14</v>
      </c>
      <c r="G431" s="163" t="s">
        <v>22</v>
      </c>
      <c r="H431" s="292" t="s">
        <v>16</v>
      </c>
      <c r="I431" s="293" t="s">
        <v>24</v>
      </c>
    </row>
    <row r="432">
      <c r="A432" s="291" t="s">
        <v>57</v>
      </c>
      <c r="B432" s="159" t="s">
        <v>86</v>
      </c>
      <c r="C432" s="178">
        <v>44162.0</v>
      </c>
      <c r="D432" s="179" t="s">
        <v>343</v>
      </c>
      <c r="E432" s="268">
        <v>240.0</v>
      </c>
      <c r="F432" s="163" t="s">
        <v>26</v>
      </c>
      <c r="G432" s="163" t="s">
        <v>14</v>
      </c>
      <c r="H432" s="292" t="s">
        <v>27</v>
      </c>
      <c r="I432" s="293" t="s">
        <v>16</v>
      </c>
    </row>
    <row r="433">
      <c r="A433" s="291" t="s">
        <v>57</v>
      </c>
      <c r="B433" s="159" t="s">
        <v>86</v>
      </c>
      <c r="C433" s="178">
        <v>44165.0</v>
      </c>
      <c r="D433" s="179" t="s">
        <v>345</v>
      </c>
      <c r="E433" s="268">
        <v>1000.0</v>
      </c>
      <c r="F433" s="163" t="s">
        <v>22</v>
      </c>
      <c r="G433" s="163" t="s">
        <v>26</v>
      </c>
      <c r="H433" s="292" t="s">
        <v>24</v>
      </c>
      <c r="I433" s="293" t="s">
        <v>27</v>
      </c>
    </row>
    <row r="434">
      <c r="A434" s="291" t="s">
        <v>57</v>
      </c>
      <c r="B434" s="159" t="s">
        <v>86</v>
      </c>
      <c r="C434" s="178">
        <v>44165.0</v>
      </c>
      <c r="D434" s="179" t="s">
        <v>343</v>
      </c>
      <c r="E434" s="268">
        <v>600.0</v>
      </c>
      <c r="F434" s="163" t="s">
        <v>26</v>
      </c>
      <c r="G434" s="163" t="s">
        <v>14</v>
      </c>
      <c r="H434" s="292" t="s">
        <v>27</v>
      </c>
      <c r="I434" s="293" t="s">
        <v>16</v>
      </c>
    </row>
    <row r="435">
      <c r="A435" s="291" t="s">
        <v>57</v>
      </c>
      <c r="B435" s="159" t="s">
        <v>86</v>
      </c>
      <c r="C435" s="178">
        <v>44165.0</v>
      </c>
      <c r="D435" s="179" t="s">
        <v>28</v>
      </c>
      <c r="E435" s="268">
        <v>971.0</v>
      </c>
      <c r="F435" s="163" t="s">
        <v>14</v>
      </c>
      <c r="G435" s="163" t="s">
        <v>28</v>
      </c>
      <c r="H435" s="292" t="s">
        <v>16</v>
      </c>
      <c r="I435" s="293" t="s">
        <v>30</v>
      </c>
    </row>
    <row r="436">
      <c r="A436" s="291" t="s">
        <v>57</v>
      </c>
      <c r="B436" s="159"/>
      <c r="C436" s="178"/>
      <c r="D436" s="179"/>
      <c r="E436" s="268"/>
      <c r="F436" s="163"/>
      <c r="G436" s="269"/>
      <c r="H436" s="294"/>
      <c r="I436" s="295"/>
    </row>
    <row r="437">
      <c r="A437" s="291" t="s">
        <v>57</v>
      </c>
      <c r="B437" s="159"/>
      <c r="C437" s="178"/>
      <c r="D437" s="179"/>
      <c r="E437" s="268"/>
      <c r="F437" s="163"/>
      <c r="G437" s="269"/>
      <c r="H437" s="294"/>
      <c r="I437" s="295"/>
    </row>
    <row r="438">
      <c r="A438" s="291" t="s">
        <v>57</v>
      </c>
      <c r="B438" s="159"/>
      <c r="C438" s="178"/>
      <c r="D438" s="179"/>
      <c r="E438" s="268"/>
      <c r="F438" s="163"/>
      <c r="G438" s="269"/>
      <c r="H438" s="294"/>
      <c r="I438" s="295"/>
    </row>
    <row r="439">
      <c r="A439" s="291" t="s">
        <v>57</v>
      </c>
      <c r="B439" s="159"/>
      <c r="C439" s="178"/>
      <c r="D439" s="179"/>
      <c r="E439" s="268"/>
      <c r="F439" s="163"/>
      <c r="G439" s="269"/>
      <c r="H439" s="294"/>
      <c r="I439" s="295"/>
    </row>
    <row r="440">
      <c r="A440" s="291" t="s">
        <v>57</v>
      </c>
      <c r="B440" s="159"/>
      <c r="C440" s="178"/>
      <c r="D440" s="179"/>
      <c r="E440" s="268"/>
      <c r="F440" s="163"/>
      <c r="G440" s="269"/>
      <c r="H440" s="294"/>
      <c r="I440" s="295"/>
    </row>
    <row r="441">
      <c r="A441" s="291" t="s">
        <v>57</v>
      </c>
      <c r="B441" s="159"/>
      <c r="C441" s="178"/>
      <c r="D441" s="179"/>
      <c r="E441" s="268"/>
      <c r="F441" s="163"/>
      <c r="G441" s="269"/>
      <c r="H441" s="294"/>
      <c r="I441" s="295"/>
    </row>
    <row r="442">
      <c r="A442" s="291" t="s">
        <v>57</v>
      </c>
      <c r="B442" s="159"/>
      <c r="C442" s="178"/>
      <c r="D442" s="179"/>
      <c r="E442" s="268"/>
      <c r="F442" s="163"/>
      <c r="G442" s="269"/>
      <c r="H442" s="294"/>
      <c r="I442" s="295"/>
    </row>
    <row r="443">
      <c r="A443" s="291" t="s">
        <v>57</v>
      </c>
      <c r="B443" s="159"/>
      <c r="C443" s="178"/>
      <c r="D443" s="179"/>
      <c r="E443" s="268"/>
      <c r="F443" s="163"/>
      <c r="G443" s="269"/>
      <c r="H443" s="294"/>
      <c r="I443" s="295"/>
    </row>
    <row r="444">
      <c r="A444" s="291" t="s">
        <v>57</v>
      </c>
      <c r="B444" s="159"/>
      <c r="C444" s="178"/>
      <c r="D444" s="179"/>
      <c r="E444" s="268"/>
      <c r="F444" s="163"/>
      <c r="G444" s="269"/>
      <c r="H444" s="294"/>
      <c r="I444" s="295"/>
    </row>
    <row r="445">
      <c r="A445" s="291" t="s">
        <v>57</v>
      </c>
      <c r="B445" s="159"/>
      <c r="C445" s="178"/>
      <c r="D445" s="179"/>
      <c r="E445" s="268"/>
      <c r="F445" s="163"/>
      <c r="G445" s="269"/>
      <c r="H445" s="294"/>
      <c r="I445" s="295"/>
    </row>
    <row r="446">
      <c r="A446" s="291" t="s">
        <v>57</v>
      </c>
      <c r="B446" s="159"/>
      <c r="C446" s="178"/>
      <c r="D446" s="179"/>
      <c r="E446" s="268"/>
      <c r="F446" s="163"/>
      <c r="G446" s="269"/>
      <c r="H446" s="294"/>
      <c r="I446" s="295"/>
    </row>
    <row r="447">
      <c r="A447" s="291" t="s">
        <v>57</v>
      </c>
      <c r="B447" s="159"/>
      <c r="C447" s="178"/>
      <c r="D447" s="179"/>
      <c r="E447" s="268"/>
      <c r="F447" s="163"/>
      <c r="G447" s="163"/>
      <c r="H447" s="269"/>
      <c r="I447" s="176"/>
    </row>
    <row r="448">
      <c r="A448" s="291" t="s">
        <v>57</v>
      </c>
      <c r="B448" s="159"/>
      <c r="C448" s="178"/>
      <c r="D448" s="179"/>
      <c r="E448" s="268"/>
      <c r="F448" s="163"/>
      <c r="G448" s="163"/>
      <c r="H448" s="269"/>
      <c r="I448" s="176"/>
    </row>
    <row r="449">
      <c r="A449" s="291" t="s">
        <v>57</v>
      </c>
      <c r="B449" s="159"/>
      <c r="C449" s="178"/>
      <c r="D449" s="179"/>
      <c r="E449" s="268"/>
      <c r="F449" s="163"/>
      <c r="G449" s="163"/>
      <c r="H449" s="269"/>
      <c r="I449" s="176"/>
    </row>
    <row r="450">
      <c r="A450" s="291" t="s">
        <v>57</v>
      </c>
      <c r="B450" s="159"/>
      <c r="C450" s="178"/>
      <c r="D450" s="179"/>
      <c r="E450" s="268"/>
      <c r="F450" s="163"/>
      <c r="G450" s="163"/>
      <c r="H450" s="269"/>
      <c r="I450" s="176"/>
    </row>
    <row r="451">
      <c r="A451" s="291" t="s">
        <v>57</v>
      </c>
      <c r="B451" s="159"/>
      <c r="C451" s="178"/>
      <c r="D451" s="179"/>
      <c r="E451" s="268"/>
      <c r="F451" s="163"/>
      <c r="G451" s="163"/>
      <c r="H451" s="269"/>
      <c r="I451" s="176"/>
    </row>
    <row r="452">
      <c r="A452" s="291" t="s">
        <v>57</v>
      </c>
      <c r="B452" s="159"/>
      <c r="C452" s="178"/>
      <c r="D452" s="179"/>
      <c r="E452" s="268"/>
      <c r="F452" s="163"/>
      <c r="G452" s="163"/>
      <c r="H452" s="269"/>
      <c r="I452" s="176"/>
    </row>
    <row r="453">
      <c r="A453" s="291" t="s">
        <v>57</v>
      </c>
      <c r="B453" s="159"/>
      <c r="C453" s="178"/>
      <c r="D453" s="179"/>
      <c r="E453" s="268"/>
      <c r="F453" s="163"/>
      <c r="G453" s="163"/>
      <c r="H453" s="269"/>
      <c r="I453" s="176"/>
    </row>
    <row r="454">
      <c r="A454" s="291" t="s">
        <v>57</v>
      </c>
      <c r="B454" s="159"/>
      <c r="C454" s="178"/>
      <c r="D454" s="179"/>
      <c r="E454" s="268"/>
      <c r="F454" s="163"/>
      <c r="G454" s="163"/>
      <c r="H454" s="269"/>
      <c r="I454" s="176"/>
    </row>
    <row r="455">
      <c r="A455" s="291" t="s">
        <v>57</v>
      </c>
      <c r="B455" s="159"/>
      <c r="C455" s="178"/>
      <c r="D455" s="179"/>
      <c r="E455" s="268"/>
      <c r="F455" s="163"/>
      <c r="G455" s="163"/>
      <c r="H455" s="269"/>
      <c r="I455" s="176"/>
    </row>
    <row r="456">
      <c r="A456" s="291" t="s">
        <v>57</v>
      </c>
      <c r="B456" s="159"/>
      <c r="C456" s="178"/>
      <c r="D456" s="179"/>
      <c r="E456" s="268"/>
      <c r="F456" s="163"/>
      <c r="G456" s="163"/>
      <c r="H456" s="269"/>
      <c r="I456" s="176"/>
    </row>
    <row r="457">
      <c r="A457" s="291" t="s">
        <v>57</v>
      </c>
      <c r="B457" s="159"/>
      <c r="C457" s="178"/>
      <c r="D457" s="179"/>
      <c r="E457" s="268"/>
      <c r="F457" s="163"/>
      <c r="G457" s="163"/>
      <c r="H457" s="269"/>
      <c r="I457" s="176"/>
    </row>
    <row r="458">
      <c r="A458" s="291" t="s">
        <v>57</v>
      </c>
      <c r="B458" s="159"/>
      <c r="C458" s="178"/>
      <c r="D458" s="179"/>
      <c r="E458" s="268"/>
      <c r="F458" s="163"/>
      <c r="G458" s="163"/>
      <c r="H458" s="269"/>
      <c r="I458" s="176"/>
    </row>
    <row r="459">
      <c r="A459" s="291" t="s">
        <v>57</v>
      </c>
      <c r="B459" s="159"/>
      <c r="C459" s="178"/>
      <c r="D459" s="179"/>
      <c r="E459" s="268"/>
      <c r="F459" s="163"/>
      <c r="G459" s="163"/>
      <c r="H459" s="269"/>
      <c r="I459" s="176"/>
    </row>
    <row r="460">
      <c r="A460" s="291" t="s">
        <v>57</v>
      </c>
      <c r="B460" s="159"/>
      <c r="C460" s="178"/>
      <c r="D460" s="179"/>
      <c r="E460" s="268"/>
      <c r="F460" s="163"/>
      <c r="G460" s="163"/>
      <c r="H460" s="269"/>
      <c r="I460" s="176"/>
    </row>
    <row r="461">
      <c r="A461" s="291" t="s">
        <v>57</v>
      </c>
      <c r="B461" s="159"/>
      <c r="C461" s="178"/>
      <c r="D461" s="179"/>
      <c r="E461" s="268"/>
      <c r="F461" s="163"/>
      <c r="G461" s="163"/>
      <c r="H461" s="269"/>
      <c r="I461" s="176"/>
    </row>
    <row r="462">
      <c r="A462" s="291" t="s">
        <v>57</v>
      </c>
      <c r="B462" s="159"/>
      <c r="C462" s="178"/>
      <c r="D462" s="179"/>
      <c r="E462" s="268"/>
      <c r="F462" s="163"/>
      <c r="G462" s="163"/>
      <c r="H462" s="269"/>
      <c r="I462" s="176"/>
    </row>
    <row r="463">
      <c r="A463" s="297" t="s">
        <v>57</v>
      </c>
      <c r="B463" s="193"/>
      <c r="C463" s="194"/>
      <c r="D463" s="195"/>
      <c r="E463" s="270"/>
      <c r="F463" s="197"/>
      <c r="G463" s="197"/>
      <c r="H463" s="298"/>
      <c r="I463" s="299"/>
    </row>
    <row r="465">
      <c r="A465" s="286" t="s">
        <v>58</v>
      </c>
      <c r="B465" s="187" t="s">
        <v>86</v>
      </c>
      <c r="C465" s="188">
        <v>44166.0</v>
      </c>
      <c r="D465" s="189" t="s">
        <v>346</v>
      </c>
      <c r="E465" s="261">
        <v>386.02</v>
      </c>
      <c r="F465" s="153" t="s">
        <v>26</v>
      </c>
      <c r="G465" s="153" t="s">
        <v>14</v>
      </c>
      <c r="H465" s="153" t="s">
        <v>27</v>
      </c>
      <c r="I465" s="191" t="s">
        <v>16</v>
      </c>
    </row>
    <row r="466">
      <c r="A466" s="291" t="s">
        <v>58</v>
      </c>
      <c r="B466" s="159" t="s">
        <v>86</v>
      </c>
      <c r="C466" s="178">
        <v>44168.0</v>
      </c>
      <c r="D466" s="179" t="s">
        <v>346</v>
      </c>
      <c r="E466" s="268">
        <v>400.0</v>
      </c>
      <c r="F466" s="163" t="s">
        <v>26</v>
      </c>
      <c r="G466" s="163" t="s">
        <v>14</v>
      </c>
      <c r="H466" s="292" t="s">
        <v>27</v>
      </c>
      <c r="I466" s="293" t="s">
        <v>16</v>
      </c>
    </row>
    <row r="467">
      <c r="A467" s="291" t="s">
        <v>58</v>
      </c>
      <c r="B467" s="159" t="s">
        <v>86</v>
      </c>
      <c r="C467" s="178">
        <v>44174.0</v>
      </c>
      <c r="D467" s="179" t="s">
        <v>346</v>
      </c>
      <c r="E467" s="268">
        <v>20.0</v>
      </c>
      <c r="F467" s="163" t="s">
        <v>26</v>
      </c>
      <c r="G467" s="163" t="s">
        <v>14</v>
      </c>
      <c r="H467" s="292" t="s">
        <v>27</v>
      </c>
      <c r="I467" s="293" t="s">
        <v>16</v>
      </c>
    </row>
    <row r="468">
      <c r="A468" s="291" t="s">
        <v>58</v>
      </c>
      <c r="B468" s="159" t="s">
        <v>86</v>
      </c>
      <c r="C468" s="178">
        <v>44181.0</v>
      </c>
      <c r="D468" s="179" t="s">
        <v>347</v>
      </c>
      <c r="E468" s="268">
        <v>350.0</v>
      </c>
      <c r="F468" s="163" t="s">
        <v>22</v>
      </c>
      <c r="G468" s="163" t="s">
        <v>26</v>
      </c>
      <c r="H468" s="292" t="s">
        <v>24</v>
      </c>
      <c r="I468" s="293" t="s">
        <v>27</v>
      </c>
    </row>
    <row r="469">
      <c r="A469" s="291" t="s">
        <v>58</v>
      </c>
      <c r="B469" s="159" t="s">
        <v>86</v>
      </c>
      <c r="C469" s="178">
        <v>44181.0</v>
      </c>
      <c r="D469" s="179" t="s">
        <v>346</v>
      </c>
      <c r="E469" s="268">
        <v>474.1</v>
      </c>
      <c r="F469" s="163" t="s">
        <v>26</v>
      </c>
      <c r="G469" s="163" t="s">
        <v>14</v>
      </c>
      <c r="H469" s="292" t="s">
        <v>27</v>
      </c>
      <c r="I469" s="293" t="s">
        <v>16</v>
      </c>
    </row>
    <row r="470">
      <c r="A470" s="291" t="s">
        <v>58</v>
      </c>
      <c r="B470" s="159" t="s">
        <v>86</v>
      </c>
      <c r="C470" s="178">
        <v>44183.0</v>
      </c>
      <c r="D470" s="179" t="s">
        <v>346</v>
      </c>
      <c r="E470" s="268">
        <v>135.0</v>
      </c>
      <c r="F470" s="163" t="s">
        <v>26</v>
      </c>
      <c r="G470" s="163" t="s">
        <v>14</v>
      </c>
      <c r="H470" s="292" t="s">
        <v>27</v>
      </c>
      <c r="I470" s="293" t="s">
        <v>16</v>
      </c>
    </row>
    <row r="471">
      <c r="A471" s="291" t="s">
        <v>58</v>
      </c>
      <c r="B471" s="159" t="s">
        <v>86</v>
      </c>
      <c r="C471" s="178">
        <v>44185.0</v>
      </c>
      <c r="D471" s="179" t="s">
        <v>346</v>
      </c>
      <c r="E471" s="268">
        <v>4.0</v>
      </c>
      <c r="F471" s="163" t="s">
        <v>26</v>
      </c>
      <c r="G471" s="163" t="s">
        <v>14</v>
      </c>
      <c r="H471" s="292" t="s">
        <v>27</v>
      </c>
      <c r="I471" s="293" t="s">
        <v>16</v>
      </c>
    </row>
    <row r="472">
      <c r="A472" s="291" t="s">
        <v>58</v>
      </c>
      <c r="B472" s="159" t="s">
        <v>86</v>
      </c>
      <c r="C472" s="178">
        <v>44188.0</v>
      </c>
      <c r="D472" s="179" t="s">
        <v>346</v>
      </c>
      <c r="E472" s="268">
        <v>120.0</v>
      </c>
      <c r="F472" s="163" t="s">
        <v>26</v>
      </c>
      <c r="G472" s="163" t="s">
        <v>14</v>
      </c>
      <c r="H472" s="294" t="s">
        <v>27</v>
      </c>
      <c r="I472" s="295" t="s">
        <v>16</v>
      </c>
    </row>
    <row r="473">
      <c r="A473" s="291" t="s">
        <v>58</v>
      </c>
      <c r="B473" s="159" t="s">
        <v>86</v>
      </c>
      <c r="C473" s="178">
        <v>44192.0</v>
      </c>
      <c r="D473" s="179" t="s">
        <v>18</v>
      </c>
      <c r="E473" s="268">
        <v>300.0</v>
      </c>
      <c r="F473" s="163" t="s">
        <v>14</v>
      </c>
      <c r="G473" s="163" t="s">
        <v>14</v>
      </c>
      <c r="H473" s="292" t="s">
        <v>16</v>
      </c>
      <c r="I473" s="293" t="s">
        <v>19</v>
      </c>
    </row>
    <row r="474">
      <c r="A474" s="291" t="s">
        <v>58</v>
      </c>
      <c r="B474" s="159" t="s">
        <v>86</v>
      </c>
      <c r="C474" s="178">
        <v>44192.0</v>
      </c>
      <c r="D474" s="179" t="s">
        <v>28</v>
      </c>
      <c r="E474" s="268">
        <v>200.0</v>
      </c>
      <c r="F474" s="163" t="s">
        <v>14</v>
      </c>
      <c r="G474" s="163" t="s">
        <v>28</v>
      </c>
      <c r="H474" s="292" t="s">
        <v>16</v>
      </c>
      <c r="I474" s="293" t="s">
        <v>30</v>
      </c>
    </row>
    <row r="475">
      <c r="A475" s="291" t="s">
        <v>58</v>
      </c>
      <c r="B475" s="159" t="s">
        <v>86</v>
      </c>
      <c r="C475" s="178">
        <v>44196.0</v>
      </c>
      <c r="D475" s="179" t="s">
        <v>346</v>
      </c>
      <c r="E475" s="268">
        <v>520.0</v>
      </c>
      <c r="F475" s="163" t="s">
        <v>26</v>
      </c>
      <c r="G475" s="163" t="s">
        <v>14</v>
      </c>
      <c r="H475" s="292" t="s">
        <v>27</v>
      </c>
      <c r="I475" s="293" t="s">
        <v>16</v>
      </c>
    </row>
    <row r="476">
      <c r="A476" s="291" t="s">
        <v>58</v>
      </c>
      <c r="B476" s="159" t="s">
        <v>86</v>
      </c>
      <c r="C476" s="178">
        <v>44196.0</v>
      </c>
      <c r="D476" s="179" t="s">
        <v>18</v>
      </c>
      <c r="E476" s="268">
        <v>300.0</v>
      </c>
      <c r="F476" s="163" t="s">
        <v>14</v>
      </c>
      <c r="G476" s="269" t="s">
        <v>14</v>
      </c>
      <c r="H476" s="294" t="s">
        <v>16</v>
      </c>
      <c r="I476" s="295" t="s">
        <v>19</v>
      </c>
    </row>
    <row r="477">
      <c r="A477" s="291" t="s">
        <v>58</v>
      </c>
      <c r="B477" s="159"/>
      <c r="C477" s="178"/>
      <c r="D477" s="179"/>
      <c r="E477" s="268"/>
      <c r="F477" s="163"/>
      <c r="G477" s="269"/>
      <c r="H477" s="294"/>
      <c r="I477" s="295"/>
    </row>
    <row r="478">
      <c r="A478" s="291" t="s">
        <v>58</v>
      </c>
      <c r="B478" s="159"/>
      <c r="C478" s="178"/>
      <c r="D478" s="179"/>
      <c r="E478" s="268"/>
      <c r="F478" s="163"/>
      <c r="G478" s="269"/>
      <c r="H478" s="294"/>
      <c r="I478" s="295"/>
    </row>
    <row r="479">
      <c r="A479" s="291" t="s">
        <v>58</v>
      </c>
      <c r="B479" s="159"/>
      <c r="C479" s="178"/>
      <c r="D479" s="179"/>
      <c r="E479" s="268"/>
      <c r="F479" s="163"/>
      <c r="G479" s="269"/>
      <c r="H479" s="294"/>
      <c r="I479" s="295"/>
    </row>
    <row r="480">
      <c r="A480" s="291" t="s">
        <v>58</v>
      </c>
      <c r="B480" s="159"/>
      <c r="C480" s="178"/>
      <c r="D480" s="179"/>
      <c r="E480" s="268"/>
      <c r="F480" s="163"/>
      <c r="G480" s="269"/>
      <c r="H480" s="294"/>
      <c r="I480" s="295"/>
    </row>
    <row r="481">
      <c r="A481" s="291" t="s">
        <v>58</v>
      </c>
      <c r="B481" s="159"/>
      <c r="C481" s="178"/>
      <c r="D481" s="179"/>
      <c r="E481" s="268"/>
      <c r="F481" s="163"/>
      <c r="G481" s="269"/>
      <c r="H481" s="294"/>
      <c r="I481" s="295"/>
    </row>
    <row r="482">
      <c r="A482" s="291" t="s">
        <v>58</v>
      </c>
      <c r="B482" s="159"/>
      <c r="C482" s="178"/>
      <c r="D482" s="179"/>
      <c r="E482" s="268"/>
      <c r="F482" s="163"/>
      <c r="G482" s="269"/>
      <c r="H482" s="294"/>
      <c r="I482" s="295"/>
    </row>
    <row r="483">
      <c r="A483" s="291" t="s">
        <v>58</v>
      </c>
      <c r="B483" s="159"/>
      <c r="C483" s="178"/>
      <c r="D483" s="179"/>
      <c r="E483" s="268"/>
      <c r="F483" s="163"/>
      <c r="G483" s="269"/>
      <c r="H483" s="294"/>
      <c r="I483" s="295"/>
    </row>
    <row r="484">
      <c r="A484" s="291" t="s">
        <v>58</v>
      </c>
      <c r="B484" s="159"/>
      <c r="C484" s="178"/>
      <c r="D484" s="179"/>
      <c r="E484" s="268"/>
      <c r="F484" s="163"/>
      <c r="G484" s="269"/>
      <c r="H484" s="294"/>
      <c r="I484" s="295"/>
    </row>
    <row r="485">
      <c r="A485" s="291" t="s">
        <v>58</v>
      </c>
      <c r="B485" s="159"/>
      <c r="C485" s="178"/>
      <c r="D485" s="179"/>
      <c r="E485" s="268"/>
      <c r="F485" s="163"/>
      <c r="G485" s="269"/>
      <c r="H485" s="294"/>
      <c r="I485" s="295"/>
    </row>
    <row r="486">
      <c r="A486" s="291" t="s">
        <v>58</v>
      </c>
      <c r="B486" s="159"/>
      <c r="C486" s="178"/>
      <c r="D486" s="179"/>
      <c r="E486" s="268"/>
      <c r="F486" s="163"/>
      <c r="G486" s="269"/>
      <c r="H486" s="294"/>
      <c r="I486" s="295"/>
    </row>
    <row r="487">
      <c r="A487" s="291" t="s">
        <v>58</v>
      </c>
      <c r="B487" s="159"/>
      <c r="C487" s="178"/>
      <c r="D487" s="179"/>
      <c r="E487" s="268"/>
      <c r="F487" s="163"/>
      <c r="G487" s="269"/>
      <c r="H487" s="294"/>
      <c r="I487" s="295"/>
    </row>
    <row r="488">
      <c r="A488" s="291" t="s">
        <v>58</v>
      </c>
      <c r="B488" s="159"/>
      <c r="C488" s="178"/>
      <c r="D488" s="179"/>
      <c r="E488" s="268"/>
      <c r="F488" s="163"/>
      <c r="G488" s="269"/>
      <c r="H488" s="294"/>
      <c r="I488" s="295"/>
    </row>
    <row r="489">
      <c r="A489" s="291" t="s">
        <v>58</v>
      </c>
      <c r="B489" s="159"/>
      <c r="C489" s="178"/>
      <c r="D489" s="179"/>
      <c r="E489" s="268"/>
      <c r="F489" s="163"/>
      <c r="G489" s="163"/>
      <c r="H489" s="269"/>
      <c r="I489" s="176"/>
    </row>
    <row r="490">
      <c r="A490" s="291" t="s">
        <v>58</v>
      </c>
      <c r="B490" s="159"/>
      <c r="C490" s="178"/>
      <c r="D490" s="179"/>
      <c r="E490" s="268"/>
      <c r="F490" s="163"/>
      <c r="G490" s="163"/>
      <c r="H490" s="269"/>
      <c r="I490" s="176"/>
    </row>
    <row r="491">
      <c r="A491" s="291" t="s">
        <v>58</v>
      </c>
      <c r="B491" s="159"/>
      <c r="C491" s="178"/>
      <c r="D491" s="179"/>
      <c r="E491" s="268"/>
      <c r="F491" s="163"/>
      <c r="G491" s="163"/>
      <c r="H491" s="269"/>
      <c r="I491" s="176"/>
    </row>
    <row r="492">
      <c r="A492" s="291" t="s">
        <v>58</v>
      </c>
      <c r="B492" s="159"/>
      <c r="C492" s="178"/>
      <c r="D492" s="179"/>
      <c r="E492" s="268"/>
      <c r="F492" s="163"/>
      <c r="G492" s="163"/>
      <c r="H492" s="269"/>
      <c r="I492" s="176"/>
    </row>
    <row r="493">
      <c r="A493" s="291" t="s">
        <v>58</v>
      </c>
      <c r="B493" s="159"/>
      <c r="C493" s="178"/>
      <c r="D493" s="179"/>
      <c r="E493" s="268"/>
      <c r="F493" s="163"/>
      <c r="G493" s="163"/>
      <c r="H493" s="269"/>
      <c r="I493" s="176"/>
    </row>
    <row r="494">
      <c r="A494" s="291" t="s">
        <v>58</v>
      </c>
      <c r="B494" s="159"/>
      <c r="C494" s="178"/>
      <c r="D494" s="179"/>
      <c r="E494" s="268"/>
      <c r="F494" s="163"/>
      <c r="G494" s="163"/>
      <c r="H494" s="269"/>
      <c r="I494" s="176"/>
    </row>
    <row r="495">
      <c r="A495" s="291" t="s">
        <v>58</v>
      </c>
      <c r="B495" s="159"/>
      <c r="C495" s="178"/>
      <c r="D495" s="179"/>
      <c r="E495" s="268"/>
      <c r="F495" s="163"/>
      <c r="G495" s="163"/>
      <c r="H495" s="269"/>
      <c r="I495" s="176"/>
    </row>
    <row r="496">
      <c r="A496" s="291" t="s">
        <v>58</v>
      </c>
      <c r="B496" s="159"/>
      <c r="C496" s="178"/>
      <c r="D496" s="179"/>
      <c r="E496" s="268"/>
      <c r="F496" s="163"/>
      <c r="G496" s="163"/>
      <c r="H496" s="269"/>
      <c r="I496" s="176"/>
    </row>
    <row r="497">
      <c r="A497" s="291" t="s">
        <v>58</v>
      </c>
      <c r="B497" s="159"/>
      <c r="C497" s="178"/>
      <c r="D497" s="179"/>
      <c r="E497" s="268"/>
      <c r="F497" s="163"/>
      <c r="G497" s="163"/>
      <c r="H497" s="269"/>
      <c r="I497" s="176"/>
    </row>
    <row r="498">
      <c r="A498" s="291" t="s">
        <v>58</v>
      </c>
      <c r="B498" s="159"/>
      <c r="C498" s="178"/>
      <c r="D498" s="179"/>
      <c r="E498" s="268"/>
      <c r="F498" s="163"/>
      <c r="G498" s="163"/>
      <c r="H498" s="269"/>
      <c r="I498" s="176"/>
    </row>
    <row r="499">
      <c r="A499" s="291" t="s">
        <v>58</v>
      </c>
      <c r="B499" s="159"/>
      <c r="C499" s="178"/>
      <c r="D499" s="179"/>
      <c r="E499" s="268"/>
      <c r="F499" s="163"/>
      <c r="G499" s="163"/>
      <c r="H499" s="269"/>
      <c r="I499" s="176"/>
    </row>
    <row r="500">
      <c r="A500" s="291" t="s">
        <v>58</v>
      </c>
      <c r="B500" s="159"/>
      <c r="C500" s="178"/>
      <c r="D500" s="179"/>
      <c r="E500" s="268"/>
      <c r="F500" s="163"/>
      <c r="G500" s="163"/>
      <c r="H500" s="269"/>
      <c r="I500" s="176"/>
    </row>
    <row r="501">
      <c r="A501" s="291" t="s">
        <v>58</v>
      </c>
      <c r="B501" s="159"/>
      <c r="C501" s="178"/>
      <c r="D501" s="179"/>
      <c r="E501" s="268"/>
      <c r="F501" s="163"/>
      <c r="G501" s="163"/>
      <c r="H501" s="269"/>
      <c r="I501" s="176"/>
    </row>
    <row r="502">
      <c r="A502" s="291" t="s">
        <v>58</v>
      </c>
      <c r="B502" s="159"/>
      <c r="C502" s="178"/>
      <c r="D502" s="179"/>
      <c r="E502" s="268"/>
      <c r="F502" s="163"/>
      <c r="G502" s="163"/>
      <c r="H502" s="269"/>
      <c r="I502" s="176"/>
    </row>
    <row r="503">
      <c r="A503" s="291" t="s">
        <v>58</v>
      </c>
      <c r="B503" s="159"/>
      <c r="C503" s="178"/>
      <c r="D503" s="179"/>
      <c r="E503" s="268"/>
      <c r="F503" s="163"/>
      <c r="G503" s="163"/>
      <c r="H503" s="269"/>
      <c r="I503" s="176"/>
    </row>
    <row r="504">
      <c r="A504" s="291" t="s">
        <v>58</v>
      </c>
      <c r="B504" s="159"/>
      <c r="C504" s="178"/>
      <c r="D504" s="179"/>
      <c r="E504" s="268"/>
      <c r="F504" s="163"/>
      <c r="G504" s="163"/>
      <c r="H504" s="269"/>
      <c r="I504" s="176"/>
    </row>
    <row r="505">
      <c r="A505" s="297" t="s">
        <v>58</v>
      </c>
      <c r="B505" s="193"/>
      <c r="C505" s="194"/>
      <c r="D505" s="195"/>
      <c r="E505" s="270"/>
      <c r="F505" s="197"/>
      <c r="G505" s="197"/>
      <c r="H505" s="298"/>
      <c r="I505" s="299"/>
    </row>
  </sheetData>
  <mergeCells count="1">
    <mergeCell ref="A1:I1"/>
  </mergeCells>
  <dataValidations>
    <dataValidation type="list" allowBlank="1" sqref="B3:B43 B45:B85 B87:B127 B129:B169 B171:B211 B213:B253 B255:B295 B297:B337 B339:B379 B381:B421 B423:B463 B465:B505">
      <formula1>Tabelas!$H$13:$H$52</formula1>
    </dataValidation>
    <dataValidation type="list" allowBlank="1" sqref="F3:G43 F45:G85 F87:G127 F129:G169 F171:G211 F213:G253 F255:G295 F297:G337 F339:G379 F381:G421 F423:G463 F465:G505">
      <formula1>Inicio!$B$6:$B$25</formula1>
    </dataValidation>
    <dataValidation type="list" allowBlank="1" sqref="H3:I43 H45:I85 H87:I127 H129:I169 H171:I211 H213:I253 H255:I295 H297:I337 H339:I379 H381:I421 H423:I463 H465:I505">
      <formula1>Inicio!$D$6:$D$25</formula1>
    </dataValidation>
  </dataValidations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.88"/>
    <col customWidth="1" min="2" max="2" width="12.25"/>
    <col customWidth="1" min="3" max="3" width="10.25"/>
    <col customWidth="1" min="4" max="4" width="9.13"/>
    <col customWidth="1" min="5" max="5" width="10.13"/>
    <col customWidth="1" min="6" max="10" width="9.13"/>
    <col customWidth="1" min="11" max="11" width="6.38"/>
    <col customWidth="1" min="12" max="12" width="8.25"/>
    <col customWidth="1" min="13" max="25" width="9.13"/>
    <col customWidth="1" min="26" max="26" width="8.75"/>
    <col customWidth="1" min="27" max="27" width="8.63"/>
    <col customWidth="1" min="28" max="28" width="7.75"/>
  </cols>
  <sheetData>
    <row r="1">
      <c r="A1" s="300"/>
      <c r="B1" s="300" t="s">
        <v>348</v>
      </c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  <c r="Z1" s="301"/>
      <c r="AA1" s="301"/>
      <c r="AB1" s="21"/>
      <c r="AC1" s="21"/>
      <c r="AD1" s="21"/>
      <c r="AE1" s="302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</row>
    <row r="2">
      <c r="A2" s="300"/>
      <c r="D2" s="303">
        <f>Inicio!$B$2</f>
        <v>2020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304"/>
      <c r="P2" s="303">
        <f>D2+1</f>
        <v>2021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304"/>
      <c r="AB2" s="21"/>
      <c r="AC2" s="305"/>
      <c r="AD2" s="305"/>
      <c r="AE2" s="306"/>
      <c r="AF2" s="305"/>
      <c r="AG2" s="305"/>
      <c r="AH2" s="305"/>
      <c r="AI2" s="305"/>
      <c r="AJ2" s="305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</row>
    <row r="3">
      <c r="A3" s="307"/>
      <c r="B3" s="308"/>
      <c r="C3" s="309"/>
      <c r="D3" s="310" t="s">
        <v>47</v>
      </c>
      <c r="E3" s="310" t="s">
        <v>48</v>
      </c>
      <c r="F3" s="310" t="s">
        <v>49</v>
      </c>
      <c r="G3" s="310" t="s">
        <v>50</v>
      </c>
      <c r="H3" s="310" t="s">
        <v>51</v>
      </c>
      <c r="I3" s="310" t="s">
        <v>52</v>
      </c>
      <c r="J3" s="310" t="s">
        <v>53</v>
      </c>
      <c r="K3" s="310" t="s">
        <v>54</v>
      </c>
      <c r="L3" s="310" t="s">
        <v>55</v>
      </c>
      <c r="M3" s="310" t="s">
        <v>56</v>
      </c>
      <c r="N3" s="310" t="s">
        <v>57</v>
      </c>
      <c r="O3" s="310" t="s">
        <v>58</v>
      </c>
      <c r="P3" s="310" t="s">
        <v>47</v>
      </c>
      <c r="Q3" s="310" t="s">
        <v>48</v>
      </c>
      <c r="R3" s="310" t="s">
        <v>49</v>
      </c>
      <c r="S3" s="310" t="s">
        <v>50</v>
      </c>
      <c r="T3" s="310" t="s">
        <v>51</v>
      </c>
      <c r="U3" s="310" t="s">
        <v>52</v>
      </c>
      <c r="V3" s="310" t="s">
        <v>53</v>
      </c>
      <c r="W3" s="310" t="s">
        <v>54</v>
      </c>
      <c r="X3" s="310" t="s">
        <v>55</v>
      </c>
      <c r="Y3" s="310" t="s">
        <v>56</v>
      </c>
      <c r="Z3" s="310" t="s">
        <v>57</v>
      </c>
      <c r="AA3" s="310" t="s">
        <v>58</v>
      </c>
      <c r="AB3" s="21"/>
      <c r="AC3" s="305" t="s">
        <v>349</v>
      </c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</row>
    <row r="4">
      <c r="A4" s="311"/>
      <c r="B4" s="312" t="s">
        <v>59</v>
      </c>
      <c r="C4" s="313" t="s">
        <v>350</v>
      </c>
      <c r="D4" s="314">
        <f>SUM(D28:D99)</f>
        <v>540.07</v>
      </c>
      <c r="E4" s="314">
        <f t="shared" ref="E4:AA4" si="1">SUM(E28:E83)</f>
        <v>577.8</v>
      </c>
      <c r="F4" s="314">
        <f t="shared" si="1"/>
        <v>560.76</v>
      </c>
      <c r="G4" s="314">
        <f t="shared" si="1"/>
        <v>540.4</v>
      </c>
      <c r="H4" s="314">
        <f t="shared" si="1"/>
        <v>137.81</v>
      </c>
      <c r="I4" s="314">
        <f t="shared" si="1"/>
        <v>107.72</v>
      </c>
      <c r="J4" s="314">
        <f t="shared" si="1"/>
        <v>442.4</v>
      </c>
      <c r="K4" s="314">
        <f t="shared" si="1"/>
        <v>0</v>
      </c>
      <c r="L4" s="314">
        <f t="shared" si="1"/>
        <v>65.665</v>
      </c>
      <c r="M4" s="314">
        <f t="shared" si="1"/>
        <v>199.1233333</v>
      </c>
      <c r="N4" s="314">
        <f t="shared" si="1"/>
        <v>239.7916667</v>
      </c>
      <c r="O4" s="314">
        <f t="shared" si="1"/>
        <v>289.7916667</v>
      </c>
      <c r="P4" s="314">
        <f t="shared" si="1"/>
        <v>239.7916667</v>
      </c>
      <c r="Q4" s="314">
        <f t="shared" si="1"/>
        <v>239.7916667</v>
      </c>
      <c r="R4" s="314">
        <f t="shared" si="1"/>
        <v>239.7916667</v>
      </c>
      <c r="S4" s="314">
        <f t="shared" si="1"/>
        <v>239.7916667</v>
      </c>
      <c r="T4" s="314">
        <f t="shared" si="1"/>
        <v>239.7916667</v>
      </c>
      <c r="U4" s="314">
        <f t="shared" si="1"/>
        <v>239.7916667</v>
      </c>
      <c r="V4" s="314">
        <f t="shared" si="1"/>
        <v>239.7916667</v>
      </c>
      <c r="W4" s="314">
        <f t="shared" si="1"/>
        <v>239.7916667</v>
      </c>
      <c r="X4" s="314">
        <f t="shared" si="1"/>
        <v>239.7916667</v>
      </c>
      <c r="Y4" s="314">
        <f t="shared" si="1"/>
        <v>158.3333333</v>
      </c>
      <c r="Z4" s="314">
        <f t="shared" si="1"/>
        <v>0</v>
      </c>
      <c r="AA4" s="315">
        <f t="shared" si="1"/>
        <v>0</v>
      </c>
      <c r="AB4" s="21"/>
      <c r="AC4" s="211" t="s">
        <v>114</v>
      </c>
      <c r="AD4" s="212" t="s">
        <v>192</v>
      </c>
      <c r="AE4" s="316" t="s">
        <v>116</v>
      </c>
      <c r="AF4" s="211" t="s">
        <v>117</v>
      </c>
      <c r="AG4" s="213" t="s">
        <v>193</v>
      </c>
      <c r="AH4" s="212" t="s">
        <v>194</v>
      </c>
      <c r="AI4" s="213" t="s">
        <v>195</v>
      </c>
      <c r="AJ4" s="214" t="s">
        <v>142</v>
      </c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</row>
    <row r="5">
      <c r="A5" s="317"/>
      <c r="B5" s="318">
        <f t="shared" ref="B5:B24" si="2">if(isblank($C5),"",sum($D5:$AA5))</f>
        <v>6017.79</v>
      </c>
      <c r="C5" s="319" t="str">
        <f>IFERROR(__xludf.DUMMYFUNCTION("unique(C28:C83)"),"Nubank")</f>
        <v>Nubank</v>
      </c>
      <c r="D5" s="320">
        <f>IFERROR(__xludf.DUMMYFUNCTION("if(isblank($C5),"""",sum(query($C$28:$AA$99,""select D where C = '""&amp;$C5&amp;""'"",0)))"),540.07)</f>
        <v>540.07</v>
      </c>
      <c r="E5" s="320">
        <f>IFERROR(__xludf.DUMMYFUNCTION("if(isblank($C5),"""",sum(query($C$28:$AA$99,""select E where C = '""&amp;$C5&amp;""'"",0)))"),577.8)</f>
        <v>577.8</v>
      </c>
      <c r="F5" s="320">
        <f>IFERROR(__xludf.DUMMYFUNCTION("if(isblank($C5),"""",sum(query($C$28:$AA$99,""select F where C = '""&amp;$C5&amp;""'"",0)))"),560.76)</f>
        <v>560.76</v>
      </c>
      <c r="G5" s="320">
        <f>IFERROR(__xludf.DUMMYFUNCTION("if(isblank($C5),"""",sum(query($C$28:$AA$99,""select G where C = '""&amp;$C5&amp;""'"",0)))"),540.4)</f>
        <v>540.4</v>
      </c>
      <c r="H5" s="320">
        <f>IFERROR(__xludf.DUMMYFUNCTION("if(isblank($C5),"""",sum(query($C$28:$AA$99,""select H where C = '""&amp;$C5&amp;""'"",0)))"),137.81)</f>
        <v>137.81</v>
      </c>
      <c r="I5" s="320">
        <f>IFERROR(__xludf.DUMMYFUNCTION("if(isblank($C5),"""",sum(query($C$28:$AA$99,""select I where C = '""&amp;$C5&amp;""'"",0)))"),107.72)</f>
        <v>107.72</v>
      </c>
      <c r="J5" s="320">
        <f>IFERROR(__xludf.DUMMYFUNCTION("if(isblank($C5),"""",sum(query($C$28:$AA$99,""select J where C = '""&amp;$C5&amp;""'"",0)))"),442.4)</f>
        <v>442.4</v>
      </c>
      <c r="K5" s="320">
        <f>IFERROR(__xludf.DUMMYFUNCTION("if(isblank($C5),"""",sum(query($C$28:$AA$99,""select K where C = '""&amp;$C5&amp;""'"",0)))"),0.0)</f>
        <v>0</v>
      </c>
      <c r="L5" s="320">
        <f>IFERROR(__xludf.DUMMYFUNCTION("if(isblank($C5),"""",sum(query($C$28:$AA$99,""select L where C = '""&amp;$C5&amp;""'"",0)))"),65.665)</f>
        <v>65.665</v>
      </c>
      <c r="M5" s="320">
        <f>IFERROR(__xludf.DUMMYFUNCTION("if(isblank($C5),"""",sum(query($C$28:$AA$99,""select M where C = '""&amp;$C5&amp;""'"",0)))"),199.1233333333333)</f>
        <v>199.1233333</v>
      </c>
      <c r="N5" s="320">
        <f>IFERROR(__xludf.DUMMYFUNCTION("if(isblank($C5),"""",sum(query($C$28:$AA$99,""select N where C = '""&amp;$C5&amp;""'"",0)))"),239.7916666666663)</f>
        <v>239.7916667</v>
      </c>
      <c r="O5" s="320">
        <f>IFERROR(__xludf.DUMMYFUNCTION("if(isblank($C5),"""",sum(query($C$28:$AA$99,""select O where C = '""&amp;$C5&amp;""'"",0)))"),289.7916666666663)</f>
        <v>289.7916667</v>
      </c>
      <c r="P5" s="320">
        <f>IFERROR(__xludf.DUMMYFUNCTION("if(isblank($C5),"""",sum(query($C$28:$AA$99,""select P where C = '""&amp;$C5&amp;""'"",0)))"),239.7916666666663)</f>
        <v>239.7916667</v>
      </c>
      <c r="Q5" s="320">
        <f>IFERROR(__xludf.DUMMYFUNCTION("if(isblank($C5),"""",sum(query($C$28:$AA$99,""select Q where C = '""&amp;$C5&amp;""'"",0)))"),239.7916666666663)</f>
        <v>239.7916667</v>
      </c>
      <c r="R5" s="320">
        <f>IFERROR(__xludf.DUMMYFUNCTION("if(isblank($C5),"""",sum(query($C$28:$AA$99,""select R where C = '""&amp;$C5&amp;""'"",0)))"),239.7916666666663)</f>
        <v>239.7916667</v>
      </c>
      <c r="S5" s="320">
        <f>IFERROR(__xludf.DUMMYFUNCTION("if(isblank($C5),"""",sum(query($C$28:$AA$99,""select S where C = '""&amp;$C5&amp;""'"",0)))"),239.7916666666663)</f>
        <v>239.7916667</v>
      </c>
      <c r="T5" s="320">
        <f>IFERROR(__xludf.DUMMYFUNCTION("if(isblank($C5),"""",sum(query($C$28:$AA$99,""select T where C = '""&amp;$C5&amp;""'"",0)))"),239.7916666666663)</f>
        <v>239.7916667</v>
      </c>
      <c r="U5" s="320">
        <f>IFERROR(__xludf.DUMMYFUNCTION("if(isblank($C5),"""",sum(query($C$28:$AA$99,""select U where C = '""&amp;$C5&amp;""'"",0)))"),239.7916666666663)</f>
        <v>239.7916667</v>
      </c>
      <c r="V5" s="320">
        <f>IFERROR(__xludf.DUMMYFUNCTION("if(isblank($C5),"""",sum(query($C$28:$AA$99,""select V where C = '""&amp;$C5&amp;""'"",0)))"),239.7916666666663)</f>
        <v>239.7916667</v>
      </c>
      <c r="W5" s="320">
        <f>IFERROR(__xludf.DUMMYFUNCTION("if(isblank($C5),"""",sum(query($C$28:$AA$99,""select W where C = '""&amp;$C5&amp;""'"",0)))"),239.7916666666663)</f>
        <v>239.7916667</v>
      </c>
      <c r="X5" s="320">
        <f>IFERROR(__xludf.DUMMYFUNCTION("if(isblank($C5),"""",sum(query($C$28:$AA$99,""select X where C = '""&amp;$C5&amp;""'"",0)))"),239.7916666666663)</f>
        <v>239.7916667</v>
      </c>
      <c r="Y5" s="320">
        <f>IFERROR(__xludf.DUMMYFUNCTION("if(isblank($C5),"""",sum(query($C$28:$AA$99,""select Y where C = '""&amp;$C5&amp;""'"",0)))"),158.333333333333)</f>
        <v>158.3333333</v>
      </c>
      <c r="Z5" s="320">
        <f>IFERROR(__xludf.DUMMYFUNCTION("if(isblank($C5),0,sum(query($C$28:$AA$99,""select Z where C = '""&amp;$C5&amp;""'"",0)))"),0.0)</f>
        <v>0</v>
      </c>
      <c r="AA5" s="321">
        <f>IFERROR(__xludf.DUMMYFUNCTION("if(isblank($C5),"""",sum(query($C$28:$AA$99,""select AA where C = '""&amp;$C5&amp;""'"",0)))"),0.0)</f>
        <v>0</v>
      </c>
      <c r="AB5" s="21"/>
      <c r="AC5" s="322" t="str">
        <f t="shared" ref="AC5:AC24" si="3">if($AF5 &lt;&gt; "","Janeiro","")</f>
        <v>Janeiro</v>
      </c>
      <c r="AD5" s="322">
        <v>1.0</v>
      </c>
      <c r="AE5" s="323">
        <v>44197.0</v>
      </c>
      <c r="AF5" s="324" t="str">
        <f t="shared" ref="AF5:AF24" si="4">if($C5 &lt;&gt;"-",$C5,"")</f>
        <v>Nubank</v>
      </c>
      <c r="AG5" s="325">
        <f t="shared" ref="AG5:AG24" si="5">if($AF5 &lt;&gt; "",sum($P5:$AA5),"")</f>
        <v>2316.458333</v>
      </c>
      <c r="AH5" s="324">
        <f t="shared" ref="AH5:AH24" si="6">if($AF5 &lt;&gt; "",COUNTIF(P5:AA5,"&gt;0")-1,"")</f>
        <v>9</v>
      </c>
      <c r="AI5" s="326">
        <f t="shared" ref="AI5:AI24" si="7">if($AF5 &lt;&gt; "",$AG5/$AH5,"")</f>
        <v>257.3842593</v>
      </c>
      <c r="AJ5" s="327" t="str">
        <f t="shared" ref="AJ5:AJ24" si="8">$AF5</f>
        <v>Nubank</v>
      </c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</row>
    <row r="6">
      <c r="A6" s="317"/>
      <c r="B6" s="318">
        <f t="shared" si="2"/>
        <v>0</v>
      </c>
      <c r="C6" s="328" t="str">
        <f>IFERROR(__xludf.DUMMYFUNCTION("""COMPUTED_VALUE"""),"")</f>
        <v/>
      </c>
      <c r="D6" s="329">
        <f>IFERROR(__xludf.DUMMYFUNCTION("if(isblank($C6),"""",sum(query($C$28:$AA$99,""select D where C = '""&amp;$C6&amp;""'"",0)))"),0.0)</f>
        <v>0</v>
      </c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30"/>
      <c r="AB6" s="21"/>
      <c r="AC6" s="322" t="str">
        <f t="shared" si="3"/>
        <v/>
      </c>
      <c r="AD6" s="322" t="str">
        <f t="shared" ref="AD6:AD24" si="9">if($AF6 &lt;&gt; "",$AD5 +1,"")</f>
        <v/>
      </c>
      <c r="AE6" s="323" t="str">
        <f t="shared" ref="AE6:AE24" si="10">if($AF6 &lt;&gt; "",$AE5,"")</f>
        <v/>
      </c>
      <c r="AF6" s="324" t="str">
        <f t="shared" si="4"/>
        <v/>
      </c>
      <c r="AG6" s="324" t="str">
        <f t="shared" si="5"/>
        <v/>
      </c>
      <c r="AH6" s="324" t="str">
        <f t="shared" si="6"/>
        <v/>
      </c>
      <c r="AI6" s="326" t="str">
        <f t="shared" si="7"/>
        <v/>
      </c>
      <c r="AJ6" s="327" t="str">
        <f t="shared" si="8"/>
        <v/>
      </c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</row>
    <row r="7">
      <c r="A7" s="317"/>
      <c r="B7" s="331" t="str">
        <f t="shared" si="2"/>
        <v/>
      </c>
      <c r="C7" s="328"/>
      <c r="D7" s="320" t="str">
        <f>IFERROR(__xludf.DUMMYFUNCTION("if(isblank($C7),"""",sum(query($C$28:$AA$99,""select D where C = '""&amp;$C7&amp;""'"",0)))"),"  ")</f>
        <v/>
      </c>
      <c r="E7" s="320"/>
      <c r="F7" s="320"/>
      <c r="G7" s="320"/>
      <c r="H7" s="320"/>
      <c r="I7" s="320"/>
      <c r="J7" s="320"/>
      <c r="K7" s="320"/>
      <c r="L7" s="320"/>
      <c r="M7" s="320"/>
      <c r="N7" s="320"/>
      <c r="O7" s="320"/>
      <c r="P7" s="320"/>
      <c r="Q7" s="320"/>
      <c r="R7" s="320"/>
      <c r="S7" s="320"/>
      <c r="T7" s="320"/>
      <c r="U7" s="320"/>
      <c r="V7" s="320"/>
      <c r="W7" s="320"/>
      <c r="X7" s="320"/>
      <c r="Y7" s="320"/>
      <c r="Z7" s="320"/>
      <c r="AA7" s="321"/>
      <c r="AB7" s="21"/>
      <c r="AC7" s="322" t="str">
        <f t="shared" si="3"/>
        <v/>
      </c>
      <c r="AD7" s="322" t="str">
        <f t="shared" si="9"/>
        <v/>
      </c>
      <c r="AE7" s="323" t="str">
        <f t="shared" si="10"/>
        <v/>
      </c>
      <c r="AF7" s="324" t="str">
        <f t="shared" si="4"/>
        <v/>
      </c>
      <c r="AG7" s="324" t="str">
        <f t="shared" si="5"/>
        <v/>
      </c>
      <c r="AH7" s="324" t="str">
        <f t="shared" si="6"/>
        <v/>
      </c>
      <c r="AI7" s="326" t="str">
        <f t="shared" si="7"/>
        <v/>
      </c>
      <c r="AJ7" s="327" t="str">
        <f t="shared" si="8"/>
        <v/>
      </c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</row>
    <row r="8">
      <c r="A8" s="317"/>
      <c r="B8" s="331" t="str">
        <f t="shared" si="2"/>
        <v/>
      </c>
      <c r="C8" s="328"/>
      <c r="D8" s="329" t="str">
        <f>IFERROR(__xludf.DUMMYFUNCTION("if(isblank($C8),"""",sum(query($C$28:$AA$99,""select D where C = '""&amp;$C8&amp;""'"",0)))"),"  ")</f>
        <v/>
      </c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329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30"/>
      <c r="AB8" s="21"/>
      <c r="AC8" s="322" t="str">
        <f t="shared" si="3"/>
        <v/>
      </c>
      <c r="AD8" s="322" t="str">
        <f t="shared" si="9"/>
        <v/>
      </c>
      <c r="AE8" s="323" t="str">
        <f t="shared" si="10"/>
        <v/>
      </c>
      <c r="AF8" s="324" t="str">
        <f t="shared" si="4"/>
        <v/>
      </c>
      <c r="AG8" s="324" t="str">
        <f t="shared" si="5"/>
        <v/>
      </c>
      <c r="AH8" s="324" t="str">
        <f t="shared" si="6"/>
        <v/>
      </c>
      <c r="AI8" s="326" t="str">
        <f t="shared" si="7"/>
        <v/>
      </c>
      <c r="AJ8" s="327" t="str">
        <f t="shared" si="8"/>
        <v/>
      </c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</row>
    <row r="9">
      <c r="A9" s="317"/>
      <c r="B9" s="331" t="str">
        <f t="shared" si="2"/>
        <v/>
      </c>
      <c r="C9" s="328"/>
      <c r="D9" s="320" t="str">
        <f>IFERROR(__xludf.DUMMYFUNCTION("if(isblank($C9),"""",sum(query($C$28:$AA$99,""select D where C = '""&amp;$C9&amp;""'"",0)))"),"  ")</f>
        <v/>
      </c>
      <c r="E9" s="320"/>
      <c r="F9" s="320"/>
      <c r="G9" s="320"/>
      <c r="H9" s="320"/>
      <c r="I9" s="320"/>
      <c r="J9" s="320"/>
      <c r="K9" s="320"/>
      <c r="L9" s="320"/>
      <c r="M9" s="320"/>
      <c r="N9" s="320"/>
      <c r="O9" s="320"/>
      <c r="P9" s="320"/>
      <c r="Q9" s="320"/>
      <c r="R9" s="320"/>
      <c r="S9" s="320"/>
      <c r="T9" s="320"/>
      <c r="U9" s="320"/>
      <c r="V9" s="320"/>
      <c r="W9" s="320"/>
      <c r="X9" s="320"/>
      <c r="Y9" s="320"/>
      <c r="Z9" s="320"/>
      <c r="AA9" s="321"/>
      <c r="AB9" s="21"/>
      <c r="AC9" s="322" t="str">
        <f t="shared" si="3"/>
        <v/>
      </c>
      <c r="AD9" s="322" t="str">
        <f t="shared" si="9"/>
        <v/>
      </c>
      <c r="AE9" s="323" t="str">
        <f t="shared" si="10"/>
        <v/>
      </c>
      <c r="AF9" s="324" t="str">
        <f t="shared" si="4"/>
        <v/>
      </c>
      <c r="AG9" s="324" t="str">
        <f t="shared" si="5"/>
        <v/>
      </c>
      <c r="AH9" s="324" t="str">
        <f t="shared" si="6"/>
        <v/>
      </c>
      <c r="AI9" s="326" t="str">
        <f t="shared" si="7"/>
        <v/>
      </c>
      <c r="AJ9" s="327" t="str">
        <f t="shared" si="8"/>
        <v/>
      </c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</row>
    <row r="10">
      <c r="A10" s="317"/>
      <c r="B10" s="331" t="str">
        <f t="shared" si="2"/>
        <v/>
      </c>
      <c r="C10" s="328"/>
      <c r="D10" s="329" t="str">
        <f>IFERROR(__xludf.DUMMYFUNCTION("if(isblank($C10),"""",sum(query($C$28:$AA$99,""select D where C = '""&amp;$C10&amp;""'"",0)))"),"  ")</f>
        <v/>
      </c>
      <c r="E10" s="329"/>
      <c r="F10" s="329"/>
      <c r="G10" s="329"/>
      <c r="H10" s="329"/>
      <c r="I10" s="329"/>
      <c r="J10" s="329"/>
      <c r="K10" s="329"/>
      <c r="L10" s="329"/>
      <c r="M10" s="329"/>
      <c r="N10" s="329"/>
      <c r="O10" s="329"/>
      <c r="P10" s="329"/>
      <c r="Q10" s="329"/>
      <c r="R10" s="329"/>
      <c r="S10" s="329"/>
      <c r="T10" s="329"/>
      <c r="U10" s="329"/>
      <c r="V10" s="329"/>
      <c r="W10" s="329"/>
      <c r="X10" s="329"/>
      <c r="Y10" s="329"/>
      <c r="Z10" s="329"/>
      <c r="AA10" s="330"/>
      <c r="AB10" s="21"/>
      <c r="AC10" s="322" t="str">
        <f t="shared" si="3"/>
        <v/>
      </c>
      <c r="AD10" s="322" t="str">
        <f t="shared" si="9"/>
        <v/>
      </c>
      <c r="AE10" s="323" t="str">
        <f t="shared" si="10"/>
        <v/>
      </c>
      <c r="AF10" s="324" t="str">
        <f t="shared" si="4"/>
        <v/>
      </c>
      <c r="AG10" s="324" t="str">
        <f t="shared" si="5"/>
        <v/>
      </c>
      <c r="AH10" s="324" t="str">
        <f t="shared" si="6"/>
        <v/>
      </c>
      <c r="AI10" s="326" t="str">
        <f t="shared" si="7"/>
        <v/>
      </c>
      <c r="AJ10" s="327" t="str">
        <f t="shared" si="8"/>
        <v/>
      </c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</row>
    <row r="11">
      <c r="A11" s="317"/>
      <c r="B11" s="331" t="str">
        <f t="shared" si="2"/>
        <v/>
      </c>
      <c r="C11" s="328"/>
      <c r="D11" s="320" t="str">
        <f>IFERROR(__xludf.DUMMYFUNCTION("if(isblank($C11),"""",sum(query($C$28:$AA$99,""select D where C = '""&amp;$C11&amp;""'"",0)))"),"  ")</f>
        <v/>
      </c>
      <c r="E11" s="320"/>
      <c r="F11" s="320"/>
      <c r="G11" s="320"/>
      <c r="H11" s="320"/>
      <c r="I11" s="320"/>
      <c r="J11" s="320"/>
      <c r="K11" s="320"/>
      <c r="L11" s="320"/>
      <c r="M11" s="320"/>
      <c r="N11" s="320"/>
      <c r="O11" s="320"/>
      <c r="P11" s="320"/>
      <c r="Q11" s="320"/>
      <c r="R11" s="320"/>
      <c r="S11" s="320"/>
      <c r="T11" s="320"/>
      <c r="U11" s="320"/>
      <c r="V11" s="320"/>
      <c r="W11" s="320"/>
      <c r="X11" s="320"/>
      <c r="Y11" s="320"/>
      <c r="Z11" s="320"/>
      <c r="AA11" s="321"/>
      <c r="AB11" s="21"/>
      <c r="AC11" s="322" t="str">
        <f t="shared" si="3"/>
        <v/>
      </c>
      <c r="AD11" s="322" t="str">
        <f t="shared" si="9"/>
        <v/>
      </c>
      <c r="AE11" s="323" t="str">
        <f t="shared" si="10"/>
        <v/>
      </c>
      <c r="AF11" s="324" t="str">
        <f t="shared" si="4"/>
        <v/>
      </c>
      <c r="AG11" s="324" t="str">
        <f t="shared" si="5"/>
        <v/>
      </c>
      <c r="AH11" s="324" t="str">
        <f t="shared" si="6"/>
        <v/>
      </c>
      <c r="AI11" s="326" t="str">
        <f t="shared" si="7"/>
        <v/>
      </c>
      <c r="AJ11" s="327" t="str">
        <f t="shared" si="8"/>
        <v/>
      </c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</row>
    <row r="12">
      <c r="A12" s="317"/>
      <c r="B12" s="331" t="str">
        <f t="shared" si="2"/>
        <v/>
      </c>
      <c r="C12" s="328"/>
      <c r="D12" s="329" t="str">
        <f>IFERROR(__xludf.DUMMYFUNCTION("if(isblank($C12),"""",sum(query($C$28:$AA$99,""select D where C = '""&amp;$C12&amp;""'"",0)))"),"  ")</f>
        <v/>
      </c>
      <c r="E12" s="329"/>
      <c r="F12" s="329"/>
      <c r="G12" s="329"/>
      <c r="H12" s="329"/>
      <c r="I12" s="329"/>
      <c r="J12" s="329"/>
      <c r="K12" s="329"/>
      <c r="L12" s="329"/>
      <c r="M12" s="329"/>
      <c r="N12" s="329"/>
      <c r="O12" s="329"/>
      <c r="P12" s="329"/>
      <c r="Q12" s="329"/>
      <c r="R12" s="329"/>
      <c r="S12" s="329"/>
      <c r="T12" s="329"/>
      <c r="U12" s="329"/>
      <c r="V12" s="329"/>
      <c r="W12" s="329"/>
      <c r="X12" s="329"/>
      <c r="Y12" s="329"/>
      <c r="Z12" s="329"/>
      <c r="AA12" s="330"/>
      <c r="AB12" s="21"/>
      <c r="AC12" s="322" t="str">
        <f t="shared" si="3"/>
        <v/>
      </c>
      <c r="AD12" s="322" t="str">
        <f t="shared" si="9"/>
        <v/>
      </c>
      <c r="AE12" s="323" t="str">
        <f t="shared" si="10"/>
        <v/>
      </c>
      <c r="AF12" s="324" t="str">
        <f t="shared" si="4"/>
        <v/>
      </c>
      <c r="AG12" s="324" t="str">
        <f t="shared" si="5"/>
        <v/>
      </c>
      <c r="AH12" s="324" t="str">
        <f t="shared" si="6"/>
        <v/>
      </c>
      <c r="AI12" s="326" t="str">
        <f t="shared" si="7"/>
        <v/>
      </c>
      <c r="AJ12" s="327" t="str">
        <f t="shared" si="8"/>
        <v/>
      </c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</row>
    <row r="13">
      <c r="A13" s="317"/>
      <c r="B13" s="331" t="str">
        <f t="shared" si="2"/>
        <v/>
      </c>
      <c r="C13" s="328"/>
      <c r="D13" s="320" t="str">
        <f>IFERROR(__xludf.DUMMYFUNCTION("if(isblank($C13),"""",sum(query($C$28:$AA$99,""select D where C = '""&amp;$C13&amp;""'"",0)))"),"  ")</f>
        <v/>
      </c>
      <c r="E13" s="320"/>
      <c r="F13" s="320"/>
      <c r="G13" s="320"/>
      <c r="H13" s="320"/>
      <c r="I13" s="320"/>
      <c r="J13" s="320"/>
      <c r="K13" s="320"/>
      <c r="L13" s="320"/>
      <c r="M13" s="320"/>
      <c r="N13" s="320"/>
      <c r="O13" s="320"/>
      <c r="P13" s="320"/>
      <c r="Q13" s="320"/>
      <c r="R13" s="320"/>
      <c r="S13" s="320"/>
      <c r="T13" s="320"/>
      <c r="U13" s="320"/>
      <c r="V13" s="320"/>
      <c r="W13" s="320"/>
      <c r="X13" s="320"/>
      <c r="Y13" s="320"/>
      <c r="Z13" s="320"/>
      <c r="AA13" s="321"/>
      <c r="AB13" s="21"/>
      <c r="AC13" s="322" t="str">
        <f t="shared" si="3"/>
        <v/>
      </c>
      <c r="AD13" s="322" t="str">
        <f t="shared" si="9"/>
        <v/>
      </c>
      <c r="AE13" s="323" t="str">
        <f t="shared" si="10"/>
        <v/>
      </c>
      <c r="AF13" s="324" t="str">
        <f t="shared" si="4"/>
        <v/>
      </c>
      <c r="AG13" s="324" t="str">
        <f t="shared" si="5"/>
        <v/>
      </c>
      <c r="AH13" s="324" t="str">
        <f t="shared" si="6"/>
        <v/>
      </c>
      <c r="AI13" s="326" t="str">
        <f t="shared" si="7"/>
        <v/>
      </c>
      <c r="AJ13" s="327" t="str">
        <f t="shared" si="8"/>
        <v/>
      </c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</row>
    <row r="14">
      <c r="A14" s="317"/>
      <c r="B14" s="331" t="str">
        <f t="shared" si="2"/>
        <v/>
      </c>
      <c r="C14" s="328"/>
      <c r="D14" s="329" t="str">
        <f>IFERROR(__xludf.DUMMYFUNCTION("if(isblank($C14),"""",sum(query($C$28:$AA$99,""select D where C = '""&amp;$C14&amp;""'"",0)))"),"  ")</f>
        <v/>
      </c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  <c r="R14" s="329"/>
      <c r="S14" s="329"/>
      <c r="T14" s="329"/>
      <c r="U14" s="329"/>
      <c r="V14" s="329"/>
      <c r="W14" s="329"/>
      <c r="X14" s="329"/>
      <c r="Y14" s="329"/>
      <c r="Z14" s="329"/>
      <c r="AA14" s="330"/>
      <c r="AB14" s="21"/>
      <c r="AC14" s="322" t="str">
        <f t="shared" si="3"/>
        <v/>
      </c>
      <c r="AD14" s="322" t="str">
        <f t="shared" si="9"/>
        <v/>
      </c>
      <c r="AE14" s="323" t="str">
        <f t="shared" si="10"/>
        <v/>
      </c>
      <c r="AF14" s="324" t="str">
        <f t="shared" si="4"/>
        <v/>
      </c>
      <c r="AG14" s="324" t="str">
        <f t="shared" si="5"/>
        <v/>
      </c>
      <c r="AH14" s="324" t="str">
        <f t="shared" si="6"/>
        <v/>
      </c>
      <c r="AI14" s="326" t="str">
        <f t="shared" si="7"/>
        <v/>
      </c>
      <c r="AJ14" s="327" t="str">
        <f t="shared" si="8"/>
        <v/>
      </c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</row>
    <row r="15">
      <c r="A15" s="317"/>
      <c r="B15" s="331" t="str">
        <f t="shared" si="2"/>
        <v/>
      </c>
      <c r="C15" s="328"/>
      <c r="D15" s="320" t="str">
        <f>IFERROR(__xludf.DUMMYFUNCTION("if(isblank($C15),"""",sum(query($C$28:$AA$99,""select D where C = '""&amp;$C15&amp;""'"",0)))"),"  ")</f>
        <v/>
      </c>
      <c r="E15" s="320"/>
      <c r="F15" s="320"/>
      <c r="G15" s="320"/>
      <c r="H15" s="320"/>
      <c r="I15" s="320"/>
      <c r="J15" s="320"/>
      <c r="K15" s="320"/>
      <c r="L15" s="320"/>
      <c r="M15" s="320"/>
      <c r="N15" s="320"/>
      <c r="O15" s="320"/>
      <c r="P15" s="320"/>
      <c r="Q15" s="320"/>
      <c r="R15" s="320"/>
      <c r="S15" s="320"/>
      <c r="T15" s="320"/>
      <c r="U15" s="320"/>
      <c r="V15" s="320"/>
      <c r="W15" s="320"/>
      <c r="X15" s="320"/>
      <c r="Y15" s="320"/>
      <c r="Z15" s="320"/>
      <c r="AA15" s="321"/>
      <c r="AB15" s="21"/>
      <c r="AC15" s="322" t="str">
        <f t="shared" si="3"/>
        <v/>
      </c>
      <c r="AD15" s="322" t="str">
        <f t="shared" si="9"/>
        <v/>
      </c>
      <c r="AE15" s="323" t="str">
        <f t="shared" si="10"/>
        <v/>
      </c>
      <c r="AF15" s="324" t="str">
        <f t="shared" si="4"/>
        <v/>
      </c>
      <c r="AG15" s="324" t="str">
        <f t="shared" si="5"/>
        <v/>
      </c>
      <c r="AH15" s="324" t="str">
        <f t="shared" si="6"/>
        <v/>
      </c>
      <c r="AI15" s="326" t="str">
        <f t="shared" si="7"/>
        <v/>
      </c>
      <c r="AJ15" s="327" t="str">
        <f t="shared" si="8"/>
        <v/>
      </c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</row>
    <row r="16">
      <c r="A16" s="317"/>
      <c r="B16" s="331" t="str">
        <f t="shared" si="2"/>
        <v/>
      </c>
      <c r="C16" s="328"/>
      <c r="D16" s="329" t="str">
        <f>IFERROR(__xludf.DUMMYFUNCTION("if(isblank($C16),"""",sum(query($C$28:$AA$99,""select D where C = '""&amp;$C16&amp;""'"",0)))"),"  ")</f>
        <v/>
      </c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29"/>
      <c r="R16" s="329"/>
      <c r="S16" s="329"/>
      <c r="T16" s="329"/>
      <c r="U16" s="329"/>
      <c r="V16" s="329"/>
      <c r="W16" s="329"/>
      <c r="X16" s="329"/>
      <c r="Y16" s="329"/>
      <c r="Z16" s="329"/>
      <c r="AA16" s="330"/>
      <c r="AB16" s="21"/>
      <c r="AC16" s="322" t="str">
        <f t="shared" si="3"/>
        <v/>
      </c>
      <c r="AD16" s="322" t="str">
        <f t="shared" si="9"/>
        <v/>
      </c>
      <c r="AE16" s="323" t="str">
        <f t="shared" si="10"/>
        <v/>
      </c>
      <c r="AF16" s="324" t="str">
        <f t="shared" si="4"/>
        <v/>
      </c>
      <c r="AG16" s="324" t="str">
        <f t="shared" si="5"/>
        <v/>
      </c>
      <c r="AH16" s="324" t="str">
        <f t="shared" si="6"/>
        <v/>
      </c>
      <c r="AI16" s="326" t="str">
        <f t="shared" si="7"/>
        <v/>
      </c>
      <c r="AJ16" s="327" t="str">
        <f t="shared" si="8"/>
        <v/>
      </c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</row>
    <row r="17">
      <c r="A17" s="317"/>
      <c r="B17" s="331" t="str">
        <f t="shared" si="2"/>
        <v/>
      </c>
      <c r="C17" s="328"/>
      <c r="D17" s="320" t="str">
        <f>IFERROR(__xludf.DUMMYFUNCTION("if(isblank($C17),"""",sum(query($C$28:$AA$99,""select D where C = '""&amp;$C17&amp;""'"",0)))"),"  ")</f>
        <v/>
      </c>
      <c r="E17" s="320"/>
      <c r="F17" s="320"/>
      <c r="G17" s="320"/>
      <c r="H17" s="320"/>
      <c r="I17" s="320"/>
      <c r="J17" s="320"/>
      <c r="K17" s="320"/>
      <c r="L17" s="320"/>
      <c r="M17" s="320"/>
      <c r="N17" s="320"/>
      <c r="O17" s="320"/>
      <c r="P17" s="320"/>
      <c r="Q17" s="320"/>
      <c r="R17" s="320"/>
      <c r="S17" s="320"/>
      <c r="T17" s="320"/>
      <c r="U17" s="320"/>
      <c r="V17" s="320"/>
      <c r="W17" s="320"/>
      <c r="X17" s="320"/>
      <c r="Y17" s="320"/>
      <c r="Z17" s="320"/>
      <c r="AA17" s="321"/>
      <c r="AB17" s="21"/>
      <c r="AC17" s="322" t="str">
        <f t="shared" si="3"/>
        <v/>
      </c>
      <c r="AD17" s="322" t="str">
        <f t="shared" si="9"/>
        <v/>
      </c>
      <c r="AE17" s="323" t="str">
        <f t="shared" si="10"/>
        <v/>
      </c>
      <c r="AF17" s="324" t="str">
        <f t="shared" si="4"/>
        <v/>
      </c>
      <c r="AG17" s="324" t="str">
        <f t="shared" si="5"/>
        <v/>
      </c>
      <c r="AH17" s="324" t="str">
        <f t="shared" si="6"/>
        <v/>
      </c>
      <c r="AI17" s="326" t="str">
        <f t="shared" si="7"/>
        <v/>
      </c>
      <c r="AJ17" s="327" t="str">
        <f t="shared" si="8"/>
        <v/>
      </c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</row>
    <row r="18">
      <c r="A18" s="317"/>
      <c r="B18" s="331" t="str">
        <f t="shared" si="2"/>
        <v/>
      </c>
      <c r="C18" s="328"/>
      <c r="D18" s="329" t="str">
        <f>IFERROR(__xludf.DUMMYFUNCTION("if(isblank($C18),"""",sum(query($C$28:$AA$99,""select D where C = '""&amp;$C18&amp;""'"",0)))"),"  ")</f>
        <v/>
      </c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  <c r="R18" s="329"/>
      <c r="S18" s="329"/>
      <c r="T18" s="329"/>
      <c r="U18" s="329"/>
      <c r="V18" s="329"/>
      <c r="W18" s="329"/>
      <c r="X18" s="329"/>
      <c r="Y18" s="329"/>
      <c r="Z18" s="329"/>
      <c r="AA18" s="330"/>
      <c r="AB18" s="21"/>
      <c r="AC18" s="322" t="str">
        <f t="shared" si="3"/>
        <v/>
      </c>
      <c r="AD18" s="322" t="str">
        <f t="shared" si="9"/>
        <v/>
      </c>
      <c r="AE18" s="323" t="str">
        <f t="shared" si="10"/>
        <v/>
      </c>
      <c r="AF18" s="324" t="str">
        <f t="shared" si="4"/>
        <v/>
      </c>
      <c r="AG18" s="324" t="str">
        <f t="shared" si="5"/>
        <v/>
      </c>
      <c r="AH18" s="324" t="str">
        <f t="shared" si="6"/>
        <v/>
      </c>
      <c r="AI18" s="326" t="str">
        <f t="shared" si="7"/>
        <v/>
      </c>
      <c r="AJ18" s="327" t="str">
        <f t="shared" si="8"/>
        <v/>
      </c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</row>
    <row r="19">
      <c r="A19" s="317"/>
      <c r="B19" s="331" t="str">
        <f t="shared" si="2"/>
        <v/>
      </c>
      <c r="C19" s="328"/>
      <c r="D19" s="320" t="str">
        <f>IFERROR(__xludf.DUMMYFUNCTION("if(isblank($C19),"""",sum(query($C$28:$AA$99,""select D where C = '""&amp;$C19&amp;""'"",0)))"),"  ")</f>
        <v/>
      </c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0"/>
      <c r="Y19" s="320"/>
      <c r="Z19" s="320"/>
      <c r="AA19" s="321"/>
      <c r="AB19" s="21"/>
      <c r="AC19" s="322" t="str">
        <f t="shared" si="3"/>
        <v/>
      </c>
      <c r="AD19" s="322" t="str">
        <f t="shared" si="9"/>
        <v/>
      </c>
      <c r="AE19" s="323" t="str">
        <f t="shared" si="10"/>
        <v/>
      </c>
      <c r="AF19" s="324" t="str">
        <f t="shared" si="4"/>
        <v/>
      </c>
      <c r="AG19" s="324" t="str">
        <f t="shared" si="5"/>
        <v/>
      </c>
      <c r="AH19" s="324" t="str">
        <f t="shared" si="6"/>
        <v/>
      </c>
      <c r="AI19" s="326" t="str">
        <f t="shared" si="7"/>
        <v/>
      </c>
      <c r="AJ19" s="327" t="str">
        <f t="shared" si="8"/>
        <v/>
      </c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</row>
    <row r="20">
      <c r="A20" s="317"/>
      <c r="B20" s="331" t="str">
        <f t="shared" si="2"/>
        <v/>
      </c>
      <c r="C20" s="328"/>
      <c r="D20" s="329" t="str">
        <f>IFERROR(__xludf.DUMMYFUNCTION("if(isblank($C20),"""",sum(query($C$28:$AA$99,""select D where C = '""&amp;$C20&amp;""'"",0)))"),"  ")</f>
        <v/>
      </c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30"/>
      <c r="AB20" s="21"/>
      <c r="AC20" s="322" t="str">
        <f t="shared" si="3"/>
        <v/>
      </c>
      <c r="AD20" s="322" t="str">
        <f t="shared" si="9"/>
        <v/>
      </c>
      <c r="AE20" s="323" t="str">
        <f t="shared" si="10"/>
        <v/>
      </c>
      <c r="AF20" s="324" t="str">
        <f t="shared" si="4"/>
        <v/>
      </c>
      <c r="AG20" s="324" t="str">
        <f t="shared" si="5"/>
        <v/>
      </c>
      <c r="AH20" s="324" t="str">
        <f t="shared" si="6"/>
        <v/>
      </c>
      <c r="AI20" s="326" t="str">
        <f t="shared" si="7"/>
        <v/>
      </c>
      <c r="AJ20" s="327" t="str">
        <f t="shared" si="8"/>
        <v/>
      </c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</row>
    <row r="21">
      <c r="A21" s="317"/>
      <c r="B21" s="331" t="str">
        <f t="shared" si="2"/>
        <v/>
      </c>
      <c r="C21" s="328"/>
      <c r="D21" s="320" t="str">
        <f>IFERROR(__xludf.DUMMYFUNCTION("if(isblank($C21),"""",sum(query($C$28:$AA$99,""select D where C = '""&amp;$C21&amp;""'"",0)))"),"  ")</f>
        <v/>
      </c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21"/>
      <c r="AB21" s="21"/>
      <c r="AC21" s="322" t="str">
        <f t="shared" si="3"/>
        <v/>
      </c>
      <c r="AD21" s="322" t="str">
        <f t="shared" si="9"/>
        <v/>
      </c>
      <c r="AE21" s="323" t="str">
        <f t="shared" si="10"/>
        <v/>
      </c>
      <c r="AF21" s="324" t="str">
        <f t="shared" si="4"/>
        <v/>
      </c>
      <c r="AG21" s="324" t="str">
        <f t="shared" si="5"/>
        <v/>
      </c>
      <c r="AH21" s="324" t="str">
        <f t="shared" si="6"/>
        <v/>
      </c>
      <c r="AI21" s="326" t="str">
        <f t="shared" si="7"/>
        <v/>
      </c>
      <c r="AJ21" s="327" t="str">
        <f t="shared" si="8"/>
        <v/>
      </c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</row>
    <row r="22">
      <c r="A22" s="317"/>
      <c r="B22" s="331" t="str">
        <f t="shared" si="2"/>
        <v/>
      </c>
      <c r="C22" s="328"/>
      <c r="D22" s="329" t="str">
        <f>IFERROR(__xludf.DUMMYFUNCTION("if(isblank($C22),"""",sum(query($C$28:$AA$99,""select D where C = '""&amp;$C22&amp;""'"",0)))"),"  ")</f>
        <v/>
      </c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329"/>
      <c r="Q22" s="329"/>
      <c r="R22" s="329"/>
      <c r="S22" s="329"/>
      <c r="T22" s="329"/>
      <c r="U22" s="329"/>
      <c r="V22" s="329"/>
      <c r="W22" s="329"/>
      <c r="X22" s="329"/>
      <c r="Y22" s="329"/>
      <c r="Z22" s="329"/>
      <c r="AA22" s="330"/>
      <c r="AB22" s="21"/>
      <c r="AC22" s="322" t="str">
        <f t="shared" si="3"/>
        <v/>
      </c>
      <c r="AD22" s="322" t="str">
        <f t="shared" si="9"/>
        <v/>
      </c>
      <c r="AE22" s="323" t="str">
        <f t="shared" si="10"/>
        <v/>
      </c>
      <c r="AF22" s="324" t="str">
        <f t="shared" si="4"/>
        <v/>
      </c>
      <c r="AG22" s="324" t="str">
        <f t="shared" si="5"/>
        <v/>
      </c>
      <c r="AH22" s="324" t="str">
        <f t="shared" si="6"/>
        <v/>
      </c>
      <c r="AI22" s="326" t="str">
        <f t="shared" si="7"/>
        <v/>
      </c>
      <c r="AJ22" s="327" t="str">
        <f t="shared" si="8"/>
        <v/>
      </c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</row>
    <row r="23">
      <c r="A23" s="317"/>
      <c r="B23" s="331" t="str">
        <f t="shared" si="2"/>
        <v/>
      </c>
      <c r="C23" s="328"/>
      <c r="D23" s="320" t="str">
        <f>IFERROR(__xludf.DUMMYFUNCTION("if(isblank($C23),"""",sum(query($C$28:$AA$99,""select D where C = '""&amp;$C23&amp;""'"",0)))"),"  ")</f>
        <v/>
      </c>
      <c r="E23" s="320"/>
      <c r="F23" s="320"/>
      <c r="G23" s="320"/>
      <c r="H23" s="320"/>
      <c r="I23" s="320"/>
      <c r="J23" s="320"/>
      <c r="K23" s="320"/>
      <c r="L23" s="320"/>
      <c r="M23" s="320"/>
      <c r="N23" s="320"/>
      <c r="O23" s="320"/>
      <c r="P23" s="320"/>
      <c r="Q23" s="320"/>
      <c r="R23" s="320"/>
      <c r="S23" s="320"/>
      <c r="T23" s="320"/>
      <c r="U23" s="320"/>
      <c r="V23" s="320"/>
      <c r="W23" s="320"/>
      <c r="X23" s="320"/>
      <c r="Y23" s="320"/>
      <c r="Z23" s="320"/>
      <c r="AA23" s="321"/>
      <c r="AB23" s="21"/>
      <c r="AC23" s="322" t="str">
        <f t="shared" si="3"/>
        <v/>
      </c>
      <c r="AD23" s="322" t="str">
        <f t="shared" si="9"/>
        <v/>
      </c>
      <c r="AE23" s="323" t="str">
        <f t="shared" si="10"/>
        <v/>
      </c>
      <c r="AF23" s="324" t="str">
        <f t="shared" si="4"/>
        <v/>
      </c>
      <c r="AG23" s="324" t="str">
        <f t="shared" si="5"/>
        <v/>
      </c>
      <c r="AH23" s="324" t="str">
        <f t="shared" si="6"/>
        <v/>
      </c>
      <c r="AI23" s="326" t="str">
        <f t="shared" si="7"/>
        <v/>
      </c>
      <c r="AJ23" s="327" t="str">
        <f t="shared" si="8"/>
        <v/>
      </c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</row>
    <row r="24">
      <c r="A24" s="332"/>
      <c r="B24" s="333" t="str">
        <f t="shared" si="2"/>
        <v/>
      </c>
      <c r="C24" s="334"/>
      <c r="D24" s="335" t="str">
        <f>IFERROR(__xludf.DUMMYFUNCTION("if(isblank($C24),"""",sum(query($C$28:$AA$99,""select D where C = '""&amp;$C24&amp;""'"",0)))"),"  ")</f>
        <v/>
      </c>
      <c r="E24" s="335"/>
      <c r="F24" s="335"/>
      <c r="G24" s="335"/>
      <c r="H24" s="335"/>
      <c r="I24" s="335"/>
      <c r="J24" s="335"/>
      <c r="K24" s="335"/>
      <c r="L24" s="335"/>
      <c r="M24" s="335"/>
      <c r="N24" s="335"/>
      <c r="O24" s="335"/>
      <c r="P24" s="335"/>
      <c r="Q24" s="335"/>
      <c r="R24" s="335"/>
      <c r="S24" s="335"/>
      <c r="T24" s="335"/>
      <c r="U24" s="335"/>
      <c r="V24" s="335"/>
      <c r="W24" s="335"/>
      <c r="X24" s="335"/>
      <c r="Y24" s="335"/>
      <c r="Z24" s="335"/>
      <c r="AA24" s="336"/>
      <c r="AB24" s="21"/>
      <c r="AC24" s="322" t="str">
        <f t="shared" si="3"/>
        <v/>
      </c>
      <c r="AD24" s="322" t="str">
        <f t="shared" si="9"/>
        <v/>
      </c>
      <c r="AE24" s="323" t="str">
        <f t="shared" si="10"/>
        <v/>
      </c>
      <c r="AF24" s="324" t="str">
        <f t="shared" si="4"/>
        <v/>
      </c>
      <c r="AG24" s="324" t="str">
        <f t="shared" si="5"/>
        <v/>
      </c>
      <c r="AH24" s="324" t="str">
        <f t="shared" si="6"/>
        <v/>
      </c>
      <c r="AI24" s="326" t="str">
        <f t="shared" si="7"/>
        <v/>
      </c>
      <c r="AJ24" s="327" t="str">
        <f t="shared" si="8"/>
        <v/>
      </c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</row>
    <row r="25">
      <c r="A25" s="337"/>
      <c r="B25" s="337" t="s">
        <v>351</v>
      </c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38"/>
      <c r="Z25" s="338"/>
      <c r="AA25" s="339"/>
      <c r="AB25" s="21"/>
      <c r="AC25" s="21"/>
      <c r="AD25" s="21"/>
      <c r="AE25" s="302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</row>
    <row r="26">
      <c r="A26" s="340"/>
      <c r="D26" s="303">
        <f>Inicio!$B$2</f>
        <v>2020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304"/>
      <c r="P26" s="303">
        <f>D26+1</f>
        <v>2021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304"/>
      <c r="AB26" s="21"/>
      <c r="AC26" s="305" t="s">
        <v>352</v>
      </c>
      <c r="AE26" s="305"/>
      <c r="AF26" s="305"/>
      <c r="AG26" s="305"/>
      <c r="AH26" s="305"/>
      <c r="AI26" s="305"/>
      <c r="AJ26" s="305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</row>
    <row r="27">
      <c r="A27" s="341" t="s">
        <v>353</v>
      </c>
      <c r="B27" s="342" t="s">
        <v>117</v>
      </c>
      <c r="C27" s="341" t="s">
        <v>142</v>
      </c>
      <c r="D27" s="343" t="s">
        <v>47</v>
      </c>
      <c r="E27" s="343" t="s">
        <v>48</v>
      </c>
      <c r="F27" s="343" t="s">
        <v>49</v>
      </c>
      <c r="G27" s="343" t="s">
        <v>50</v>
      </c>
      <c r="H27" s="343" t="s">
        <v>51</v>
      </c>
      <c r="I27" s="343" t="s">
        <v>52</v>
      </c>
      <c r="J27" s="343" t="s">
        <v>53</v>
      </c>
      <c r="K27" s="343" t="s">
        <v>54</v>
      </c>
      <c r="L27" s="343" t="s">
        <v>55</v>
      </c>
      <c r="M27" s="343" t="s">
        <v>56</v>
      </c>
      <c r="N27" s="343" t="s">
        <v>57</v>
      </c>
      <c r="O27" s="343" t="s">
        <v>58</v>
      </c>
      <c r="P27" s="343" t="s">
        <v>47</v>
      </c>
      <c r="Q27" s="343" t="s">
        <v>48</v>
      </c>
      <c r="R27" s="343" t="s">
        <v>49</v>
      </c>
      <c r="S27" s="343" t="s">
        <v>50</v>
      </c>
      <c r="T27" s="343" t="s">
        <v>51</v>
      </c>
      <c r="U27" s="343" t="s">
        <v>52</v>
      </c>
      <c r="V27" s="343" t="s">
        <v>53</v>
      </c>
      <c r="W27" s="343" t="s">
        <v>54</v>
      </c>
      <c r="X27" s="343" t="s">
        <v>55</v>
      </c>
      <c r="Y27" s="343" t="s">
        <v>56</v>
      </c>
      <c r="Z27" s="343" t="s">
        <v>57</v>
      </c>
      <c r="AA27" s="343" t="s">
        <v>58</v>
      </c>
      <c r="AB27" s="21"/>
      <c r="AC27" s="214" t="s">
        <v>142</v>
      </c>
      <c r="AD27" s="213" t="s">
        <v>193</v>
      </c>
      <c r="AE27" s="344"/>
      <c r="AF27" s="345"/>
      <c r="AG27" s="346"/>
      <c r="AH27" s="347"/>
      <c r="AI27" s="346"/>
      <c r="AJ27" s="348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</row>
    <row r="28">
      <c r="A28" s="349">
        <f>IFERROR(__xludf.DUMMYFUNCTION("query('Saída'!$K$3:$Q$505,""Select K, M Where M is not Null"",0)"),1.0)</f>
        <v>1</v>
      </c>
      <c r="B28" s="350" t="str">
        <f>IFERROR(__xludf.DUMMYFUNCTION("""COMPUTED_VALUE"""),"Uber")</f>
        <v>Uber</v>
      </c>
      <c r="C28" s="351" t="str">
        <f>IFERROR(__xludf.DUMMYFUNCTION("IF(ISBLANK($B28),"""",query('Saída'!$K$3:$Q$505,""Select Q where M = '""&amp;$B28&amp;""' and K = ""&amp;$A28,0))"),"Nubank")</f>
        <v>Nubank</v>
      </c>
      <c r="D28" s="352"/>
      <c r="E28" s="353">
        <f>IFERROR(__xludf.DUMMYFUNCTION("if(isblank($B28),"""",split(rept(0&amp;""-"",month(query('Saída'!$J$3:$Q$505,""Select L where M = '""&amp;$B28&amp;""' and K = ""&amp;$A28,0))-1)&amp;rept(query('Saída'!$J$3:$Q$505,""Select P where M = '""&amp;$B28&amp;""' and K = ""&amp;$A28,0)&amp;""-"",query('Saída'!$J$3:$Q$505,""Select "&amp;"O where M = '""&amp;$B28&amp;""' and K = ""&amp;$A28,0)),""-""))"),8.83)</f>
        <v>8.83</v>
      </c>
      <c r="F28" s="352"/>
      <c r="G28" s="352"/>
      <c r="H28" s="352"/>
      <c r="I28" s="352"/>
      <c r="J28" s="352"/>
      <c r="K28" s="352"/>
      <c r="L28" s="352"/>
      <c r="M28" s="352"/>
      <c r="N28" s="352"/>
      <c r="O28" s="352"/>
      <c r="P28" s="354"/>
      <c r="Q28" s="355"/>
      <c r="R28" s="355"/>
      <c r="S28" s="355"/>
      <c r="T28" s="355"/>
      <c r="U28" s="355"/>
      <c r="V28" s="355"/>
      <c r="W28" s="355"/>
      <c r="X28" s="355"/>
      <c r="Y28" s="355"/>
      <c r="Z28" s="355"/>
      <c r="AA28" s="356"/>
      <c r="AB28" s="21"/>
      <c r="AC28" s="357" t="s">
        <v>14</v>
      </c>
      <c r="AD28" s="357">
        <v>540.07</v>
      </c>
      <c r="AE28" s="323"/>
      <c r="AF28" s="357"/>
      <c r="AG28" s="357"/>
      <c r="AH28" s="358"/>
      <c r="AI28" s="324"/>
      <c r="AJ28" s="327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</row>
    <row r="29">
      <c r="A29" s="359">
        <f>IFERROR(__xludf.DUMMYFUNCTION("""COMPUTED_VALUE"""),2.0)</f>
        <v>2</v>
      </c>
      <c r="B29" s="350" t="str">
        <f>IFERROR(__xludf.DUMMYFUNCTION("""COMPUTED_VALUE"""),"Farmácia")</f>
        <v>Farmácia</v>
      </c>
      <c r="C29" s="351" t="str">
        <f>IFERROR(__xludf.DUMMYFUNCTION("IF(ISBLANK($B29),"""",query('Saída'!$K$3:$Q$505,""Select Q where M = '""&amp;$B29&amp;""' and K = ""&amp;$A29,0))"),"Nubank")</f>
        <v>Nubank</v>
      </c>
      <c r="D29" s="352"/>
      <c r="E29" s="353">
        <f>IFERROR(__xludf.DUMMYFUNCTION("if(isblank($B29),"""",split(rept(0&amp;""-"",month(query('Saída'!$J$3:$Q$505,""Select L where M = '""&amp;$B29&amp;""' and K = ""&amp;$A29,0))-1)&amp;rept(query('Saída'!$J$3:$Q$505,""Select P where M = '""&amp;$B29&amp;""' and K = ""&amp;$A29,0)&amp;""-"",query('Saída'!$J$3:$Q$505,""Select "&amp;"O where M = '""&amp;$B29&amp;""' and K = ""&amp;$A29,0)),""-""))"),24.42)</f>
        <v>24.42</v>
      </c>
      <c r="F29" s="352"/>
      <c r="G29" s="352"/>
      <c r="H29" s="352"/>
      <c r="I29" s="352"/>
      <c r="J29" s="352"/>
      <c r="K29" s="352"/>
      <c r="L29" s="352"/>
      <c r="M29" s="352"/>
      <c r="N29" s="352"/>
      <c r="O29" s="352"/>
      <c r="P29" s="354"/>
      <c r="Q29" s="355"/>
      <c r="R29" s="355"/>
      <c r="S29" s="355"/>
      <c r="T29" s="355"/>
      <c r="U29" s="355"/>
      <c r="V29" s="355"/>
      <c r="W29" s="355"/>
      <c r="X29" s="355"/>
      <c r="Y29" s="355"/>
      <c r="Z29" s="355"/>
      <c r="AA29" s="356"/>
      <c r="AB29" s="21"/>
      <c r="AC29" s="322"/>
      <c r="AD29" s="324"/>
      <c r="AE29" s="302"/>
      <c r="AF29" s="21"/>
      <c r="AG29" s="324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</row>
    <row r="30">
      <c r="A30" s="359">
        <f>IFERROR(__xludf.DUMMYFUNCTION("""COMPUTED_VALUE"""),3.0)</f>
        <v>3</v>
      </c>
      <c r="B30" s="350" t="str">
        <f>IFERROR(__xludf.DUMMYFUNCTION("""COMPUTED_VALUE"""),"Uber")</f>
        <v>Uber</v>
      </c>
      <c r="C30" s="351" t="str">
        <f>IFERROR(__xludf.DUMMYFUNCTION("IF(ISBLANK($B30),"""",query('Saída'!$K$3:$Q$505,""Select Q where M = '""&amp;$B30&amp;""' and K = ""&amp;$A30,0))"),"Nubank")</f>
        <v>Nubank</v>
      </c>
      <c r="D30" s="352"/>
      <c r="E30" s="353">
        <f>IFERROR(__xludf.DUMMYFUNCTION("if(isblank($B30),"""",split(rept(0&amp;""-"",month(query('Saída'!$J$3:$Q$505,""Select L where M = '""&amp;$B30&amp;""' and K = ""&amp;$A30,0))-1)&amp;rept(query('Saída'!$J$3:$Q$505,""Select P where M = '""&amp;$B30&amp;""' and K = ""&amp;$A30,0)&amp;""-"",query('Saída'!$J$3:$Q$505,""Select "&amp;"O where M = '""&amp;$B30&amp;""' and K = ""&amp;$A30,0)),""-""))"),10.22)</f>
        <v>10.22</v>
      </c>
      <c r="F30" s="352"/>
      <c r="G30" s="352"/>
      <c r="H30" s="352"/>
      <c r="I30" s="352"/>
      <c r="J30" s="352"/>
      <c r="K30" s="352"/>
      <c r="L30" s="352"/>
      <c r="M30" s="352"/>
      <c r="N30" s="352"/>
      <c r="O30" s="352"/>
      <c r="P30" s="354"/>
      <c r="Q30" s="355"/>
      <c r="R30" s="355"/>
      <c r="S30" s="355"/>
      <c r="T30" s="355"/>
      <c r="U30" s="355"/>
      <c r="V30" s="355"/>
      <c r="W30" s="355"/>
      <c r="X30" s="355"/>
      <c r="Y30" s="355"/>
      <c r="Z30" s="355"/>
      <c r="AA30" s="356"/>
      <c r="AB30" s="21"/>
      <c r="AC30" s="322"/>
      <c r="AD30" s="324"/>
      <c r="AE30" s="302"/>
      <c r="AF30" s="21"/>
      <c r="AG30" s="324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</row>
    <row r="31">
      <c r="A31" s="359">
        <f>IFERROR(__xludf.DUMMYFUNCTION("""COMPUTED_VALUE"""),4.0)</f>
        <v>4</v>
      </c>
      <c r="B31" s="350" t="str">
        <f>IFERROR(__xludf.DUMMYFUNCTION("""COMPUTED_VALUE"""),"Uber3")</f>
        <v>Uber3</v>
      </c>
      <c r="C31" s="351" t="str">
        <f>IFERROR(__xludf.DUMMYFUNCTION("IF(ISBLANK($B31),"""",query('Saída'!$K$3:$Q$505,""Select Q where M = '""&amp;$B31&amp;""' and K = ""&amp;$A31,0))"),"Nubank")</f>
        <v>Nubank</v>
      </c>
      <c r="D31" s="352"/>
      <c r="E31" s="353">
        <f>IFERROR(__xludf.DUMMYFUNCTION("if(isblank($B31),"""",split(rept(0&amp;""-"",month(query('Saída'!$J$3:$Q$505,""Select L where M = '""&amp;$B31&amp;""' and K = ""&amp;$A31,0))-1)&amp;rept(query('Saída'!$J$3:$Q$505,""Select P where M = '""&amp;$B31&amp;""' and K = ""&amp;$A31,0)&amp;""-"",query('Saída'!$J$3:$Q$505,""Select "&amp;"O where M = '""&amp;$B31&amp;""' and K = ""&amp;$A31,0)),""-""))"),13.44)</f>
        <v>13.44</v>
      </c>
      <c r="F31" s="355"/>
      <c r="G31" s="355"/>
      <c r="H31" s="355"/>
      <c r="I31" s="355"/>
      <c r="J31" s="355"/>
      <c r="K31" s="355"/>
      <c r="L31" s="355"/>
      <c r="M31" s="355"/>
      <c r="N31" s="355"/>
      <c r="O31" s="355"/>
      <c r="P31" s="355"/>
      <c r="Q31" s="355"/>
      <c r="R31" s="355"/>
      <c r="S31" s="355"/>
      <c r="T31" s="355"/>
      <c r="U31" s="355"/>
      <c r="V31" s="355"/>
      <c r="W31" s="355"/>
      <c r="X31" s="355"/>
      <c r="Y31" s="355"/>
      <c r="Z31" s="355"/>
      <c r="AA31" s="356"/>
      <c r="AB31" s="21"/>
      <c r="AC31" s="322"/>
      <c r="AD31" s="324"/>
      <c r="AE31" s="302"/>
      <c r="AF31" s="21"/>
      <c r="AG31" s="324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</row>
    <row r="32">
      <c r="A32" s="359">
        <f>IFERROR(__xludf.DUMMYFUNCTION("""COMPUTED_VALUE"""),5.0)</f>
        <v>5</v>
      </c>
      <c r="B32" s="350" t="str">
        <f>IFERROR(__xludf.DUMMYFUNCTION("""COMPUTED_VALUE"""),"AliExpress Pai")</f>
        <v>AliExpress Pai</v>
      </c>
      <c r="C32" s="351" t="str">
        <f>IFERROR(__xludf.DUMMYFUNCTION("IF(ISBLANK($B32),"""",query('Saída'!$K$3:$Q$505,""Select Q where M = '""&amp;$B32&amp;""' and K = ""&amp;$A32,0))"),"Nubank")</f>
        <v>Nubank</v>
      </c>
      <c r="D32" s="352"/>
      <c r="E32" s="353">
        <f>IFERROR(__xludf.DUMMYFUNCTION("if(isblank($B32),"""",split(rept(0&amp;""-"",month(query('Saída'!$J$3:$Q$505,""Select L where M = '""&amp;$B32&amp;""' and K = ""&amp;$A32,0))-1)&amp;rept(query('Saída'!$J$3:$Q$505,""Select P where M = '""&amp;$B32&amp;""' and K = ""&amp;$A32,0)&amp;""-"",query('Saída'!$J$3:$Q$505,""Select "&amp;"O where M = '""&amp;$B32&amp;""' and K = ""&amp;$A32,0)),""-""))"),127.21)</f>
        <v>127.21</v>
      </c>
      <c r="F32" s="355"/>
      <c r="G32" s="355"/>
      <c r="H32" s="355"/>
      <c r="I32" s="355"/>
      <c r="J32" s="355"/>
      <c r="K32" s="355"/>
      <c r="L32" s="355"/>
      <c r="M32" s="355"/>
      <c r="N32" s="355"/>
      <c r="O32" s="355"/>
      <c r="P32" s="354"/>
      <c r="Q32" s="355"/>
      <c r="R32" s="355"/>
      <c r="S32" s="355"/>
      <c r="T32" s="355"/>
      <c r="U32" s="355"/>
      <c r="V32" s="355"/>
      <c r="W32" s="355"/>
      <c r="X32" s="355"/>
      <c r="Y32" s="355"/>
      <c r="Z32" s="355"/>
      <c r="AA32" s="356"/>
      <c r="AB32" s="21"/>
      <c r="AC32" s="322"/>
      <c r="AD32" s="324"/>
      <c r="AE32" s="302"/>
      <c r="AF32" s="21"/>
      <c r="AG32" s="324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</row>
    <row r="33">
      <c r="A33" s="359">
        <f>IFERROR(__xludf.DUMMYFUNCTION("""COMPUTED_VALUE"""),6.0)</f>
        <v>6</v>
      </c>
      <c r="B33" s="350" t="str">
        <f>IFERROR(__xludf.DUMMYFUNCTION("""COMPUTED_VALUE"""),"Uber4")</f>
        <v>Uber4</v>
      </c>
      <c r="C33" s="351" t="str">
        <f>IFERROR(__xludf.DUMMYFUNCTION("IF(ISBLANK($B33),"""",query('Saída'!$K$3:$Q$505,""Select Q where M = '""&amp;$B33&amp;""' and K = ""&amp;$A33,0))"),"Nubank")</f>
        <v>Nubank</v>
      </c>
      <c r="D33" s="352"/>
      <c r="E33" s="353">
        <f>IFERROR(__xludf.DUMMYFUNCTION("if(isblank($B33),"""",split(rept(0&amp;""-"",month(query('Saída'!$J$3:$Q$505,""Select L where M = '""&amp;$B33&amp;""' and K = ""&amp;$A33,0))-1)&amp;rept(query('Saída'!$J$3:$Q$505,""Select P where M = '""&amp;$B33&amp;""' and K = ""&amp;$A33,0)&amp;""-"",query('Saída'!$J$3:$Q$505,""Select "&amp;"O where M = '""&amp;$B33&amp;""' and K = ""&amp;$A33,0)),""-""))"),9.06)</f>
        <v>9.06</v>
      </c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6"/>
      <c r="AB33" s="21"/>
      <c r="AC33" s="322"/>
      <c r="AD33" s="324"/>
      <c r="AE33" s="302"/>
      <c r="AF33" s="21"/>
      <c r="AG33" s="324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</row>
    <row r="34">
      <c r="A34" s="359">
        <f>IFERROR(__xludf.DUMMYFUNCTION("""COMPUTED_VALUE"""),7.0)</f>
        <v>7</v>
      </c>
      <c r="B34" s="350" t="str">
        <f>IFERROR(__xludf.DUMMYFUNCTION("""COMPUTED_VALUE"""),"Uber11")</f>
        <v>Uber11</v>
      </c>
      <c r="C34" s="351" t="str">
        <f>IFERROR(__xludf.DUMMYFUNCTION("IF(ISBLANK($B34),"""",query('Saída'!$K$3:$Q$505,""Select Q where M = '""&amp;$B34&amp;""' and K = ""&amp;$A34,0))"),"Nubank")</f>
        <v>Nubank</v>
      </c>
      <c r="D34" s="352"/>
      <c r="E34" s="353">
        <f>IFERROR(__xludf.DUMMYFUNCTION("if(isblank($B34),"""",split(rept(0&amp;""-"",month(query('Saída'!$J$3:$Q$505,""Select L where M = '""&amp;$B34&amp;""' and K = ""&amp;$A34,0))-1)&amp;rept(query('Saída'!$J$3:$Q$505,""Select P where M = '""&amp;$B34&amp;""' and K = ""&amp;$A34,0)&amp;""-"",query('Saída'!$J$3:$Q$505,""Select "&amp;"O where M = '""&amp;$B34&amp;""' and K = ""&amp;$A34,0)),""-""))"),7.76)</f>
        <v>7.76</v>
      </c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355"/>
      <c r="AA34" s="356"/>
      <c r="AB34" s="21"/>
      <c r="AC34" s="322"/>
      <c r="AD34" s="324"/>
      <c r="AE34" s="302"/>
      <c r="AF34" s="21"/>
      <c r="AG34" s="324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</row>
    <row r="35">
      <c r="A35" s="359">
        <f>IFERROR(__xludf.DUMMYFUNCTION("""COMPUTED_VALUE"""),8.0)</f>
        <v>8</v>
      </c>
      <c r="B35" s="350" t="str">
        <f>IFERROR(__xludf.DUMMYFUNCTION("""COMPUTED_VALUE"""),"Bangood1")</f>
        <v>Bangood1</v>
      </c>
      <c r="C35" s="351" t="str">
        <f>IFERROR(__xludf.DUMMYFUNCTION("IF(ISBLANK($B35),"""",query('Saída'!$K$3:$Q$505,""Select Q where M = '""&amp;$B35&amp;""' and K = ""&amp;$A35,0))"),"Nubank")</f>
        <v>Nubank</v>
      </c>
      <c r="D35" s="352"/>
      <c r="E35" s="353">
        <f>IFERROR(__xludf.DUMMYFUNCTION("if(isblank($B35),"""",split(rept(0&amp;""-"",month(query('Saída'!$J$3:$Q$505,""Select L where M = '""&amp;$B35&amp;""' and K = ""&amp;$A35,0))-1)&amp;rept(query('Saída'!$J$3:$Q$505,""Select P where M = '""&amp;$B35&amp;""' and K = ""&amp;$A35,0)&amp;""-"",query('Saída'!$J$3:$Q$505,""Select "&amp;"O where M = '""&amp;$B35&amp;""' and K = ""&amp;$A35,0)),""-""))"),29.66)</f>
        <v>29.66</v>
      </c>
      <c r="F35" s="355">
        <f>IFERROR(__xludf.DUMMYFUNCTION("""COMPUTED_VALUE"""),29.66)</f>
        <v>29.66</v>
      </c>
      <c r="G35" s="355"/>
      <c r="H35" s="355"/>
      <c r="I35" s="355"/>
      <c r="J35" s="355"/>
      <c r="K35" s="355"/>
      <c r="L35" s="355"/>
      <c r="M35" s="355"/>
      <c r="N35" s="355"/>
      <c r="O35" s="355"/>
      <c r="P35" s="355"/>
      <c r="Q35" s="355"/>
      <c r="R35" s="355"/>
      <c r="S35" s="355"/>
      <c r="T35" s="355"/>
      <c r="U35" s="355"/>
      <c r="V35" s="355"/>
      <c r="W35" s="355"/>
      <c r="X35" s="355"/>
      <c r="Y35" s="355"/>
      <c r="Z35" s="355"/>
      <c r="AA35" s="356"/>
      <c r="AB35" s="21"/>
      <c r="AC35" s="322"/>
      <c r="AD35" s="324"/>
      <c r="AE35" s="302"/>
      <c r="AF35" s="21"/>
      <c r="AG35" s="324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</row>
    <row r="36">
      <c r="A36" s="359">
        <f>IFERROR(__xludf.DUMMYFUNCTION("""COMPUTED_VALUE"""),9.0)</f>
        <v>9</v>
      </c>
      <c r="B36" s="350" t="str">
        <f>IFERROR(__xludf.DUMMYFUNCTION("""COMPUTED_VALUE"""),"Casa Duval Paiva")</f>
        <v>Casa Duval Paiva</v>
      </c>
      <c r="C36" s="351" t="str">
        <f>IFERROR(__xludf.DUMMYFUNCTION("IF(ISBLANK($B36),"""",query('Saída'!$K$3:$Q$505,""Select Q where M = '""&amp;$B36&amp;""' and K = ""&amp;$A36,0))"),"Nubank")</f>
        <v>Nubank</v>
      </c>
      <c r="D36" s="352"/>
      <c r="E36" s="353">
        <f>IFERROR(__xludf.DUMMYFUNCTION("if(isblank($B36),"""",split(rept(0&amp;""-"",month(query('Saída'!$J$3:$Q$505,""Select L where M = '""&amp;$B36&amp;""' and K = ""&amp;$A36,0))-1)&amp;rept(query('Saída'!$J$3:$Q$505,""Select P where M = '""&amp;$B36&amp;""' and K = ""&amp;$A36,0)&amp;""-"",query('Saída'!$J$3:$Q$505,""Select "&amp;"O where M = '""&amp;$B36&amp;""' and K = ""&amp;$A36,0)),""-""))"),347.2)</f>
        <v>347.2</v>
      </c>
      <c r="F36" s="355">
        <f>IFERROR(__xludf.DUMMYFUNCTION("""COMPUTED_VALUE"""),347.2)</f>
        <v>347.2</v>
      </c>
      <c r="G36" s="355">
        <f>IFERROR(__xludf.DUMMYFUNCTION("""COMPUTED_VALUE"""),347.2)</f>
        <v>347.2</v>
      </c>
      <c r="H36" s="355"/>
      <c r="I36" s="355"/>
      <c r="J36" s="355"/>
      <c r="K36" s="355"/>
      <c r="L36" s="355"/>
      <c r="M36" s="355"/>
      <c r="N36" s="355"/>
      <c r="O36" s="355"/>
      <c r="P36" s="355"/>
      <c r="Q36" s="355"/>
      <c r="R36" s="355"/>
      <c r="S36" s="355"/>
      <c r="T36" s="355"/>
      <c r="U36" s="355"/>
      <c r="V36" s="355"/>
      <c r="W36" s="355"/>
      <c r="X36" s="355"/>
      <c r="Y36" s="355"/>
      <c r="Z36" s="355"/>
      <c r="AA36" s="356"/>
      <c r="AB36" s="21"/>
      <c r="AC36" s="322"/>
      <c r="AD36" s="324"/>
      <c r="AE36" s="302"/>
      <c r="AF36" s="21"/>
      <c r="AG36" s="324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</row>
    <row r="37">
      <c r="A37" s="359">
        <f>IFERROR(__xludf.DUMMYFUNCTION("""COMPUTED_VALUE"""),42.0)</f>
        <v>42</v>
      </c>
      <c r="B37" s="350" t="str">
        <f>IFERROR(__xludf.DUMMYFUNCTION("""COMPUTED_VALUE"""),"Vitão")</f>
        <v>Vitão</v>
      </c>
      <c r="C37" s="351" t="str">
        <f>IFERROR(__xludf.DUMMYFUNCTION("IF(ISBLANK($B37),"""",query('Saída'!$K$3:$Q$505,""Select Q where M = '""&amp;$B37&amp;""' and K = ""&amp;$A37,0))"),"Nubank")</f>
        <v>Nubank</v>
      </c>
      <c r="D37" s="352"/>
      <c r="E37" s="353">
        <f>IFERROR(__xludf.DUMMYFUNCTION("if(isblank($B37),"""",split(rept(0&amp;""-"",month(query('Saída'!$J$3:$Q$505,""Select L where M = '""&amp;$B37&amp;""' and K = ""&amp;$A37,0))-1)&amp;rept(query('Saída'!$J$3:$Q$505,""Select P where M = '""&amp;$B37&amp;""' and K = ""&amp;$A37,0)&amp;""-"",query('Saída'!$J$3:$Q$505,""Select "&amp;"O where M = '""&amp;$B37&amp;""' and K = ""&amp;$A37,0)),""-""))"),0.0)</f>
        <v>0</v>
      </c>
      <c r="F37" s="355">
        <f>IFERROR(__xludf.DUMMYFUNCTION("""COMPUTED_VALUE"""),110.0)</f>
        <v>110</v>
      </c>
      <c r="G37" s="355"/>
      <c r="H37" s="355"/>
      <c r="I37" s="355"/>
      <c r="J37" s="355"/>
      <c r="K37" s="355"/>
      <c r="L37" s="355"/>
      <c r="M37" s="355"/>
      <c r="N37" s="355"/>
      <c r="O37" s="355"/>
      <c r="P37" s="355"/>
      <c r="Q37" s="355"/>
      <c r="R37" s="355"/>
      <c r="S37" s="355"/>
      <c r="T37" s="355"/>
      <c r="U37" s="355"/>
      <c r="V37" s="355"/>
      <c r="W37" s="355"/>
      <c r="X37" s="355"/>
      <c r="Y37" s="355"/>
      <c r="Z37" s="355"/>
      <c r="AA37" s="356"/>
      <c r="AB37" s="21"/>
      <c r="AC37" s="322"/>
      <c r="AD37" s="324"/>
      <c r="AE37" s="302"/>
      <c r="AF37" s="21"/>
      <c r="AG37" s="324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</row>
    <row r="38">
      <c r="A38" s="359">
        <f>IFERROR(__xludf.DUMMYFUNCTION("""COMPUTED_VALUE"""),43.0)</f>
        <v>43</v>
      </c>
      <c r="B38" s="350" t="str">
        <f>IFERROR(__xludf.DUMMYFUNCTION("""COMPUTED_VALUE"""),"Invasão")</f>
        <v>Invasão</v>
      </c>
      <c r="C38" s="351" t="str">
        <f>IFERROR(__xludf.DUMMYFUNCTION("IF(ISBLANK($B38),"""",query('Saída'!$K$3:$Q$505,""Select Q where M = '""&amp;$B38&amp;""' and K = ""&amp;$A38,0))"),"Nubank")</f>
        <v>Nubank</v>
      </c>
      <c r="D38" s="352"/>
      <c r="E38" s="353">
        <f>IFERROR(__xludf.DUMMYFUNCTION("if(isblank($B38),"""",split(rept(0&amp;""-"",month(query('Saída'!$J$3:$Q$505,""Select L where M = '""&amp;$B38&amp;""' and K = ""&amp;$A38,0))-1)&amp;rept(query('Saída'!$J$3:$Q$505,""Select P where M = '""&amp;$B38&amp;""' and K = ""&amp;$A38,0)&amp;""-"",query('Saída'!$J$3:$Q$505,""Select "&amp;"O where M = '""&amp;$B38&amp;""' and K = ""&amp;$A38,0)),""-""))"),0.0)</f>
        <v>0</v>
      </c>
      <c r="F38" s="355">
        <f>IFERROR(__xludf.DUMMYFUNCTION("""COMPUTED_VALUE"""),66.0)</f>
        <v>66</v>
      </c>
      <c r="G38" s="355"/>
      <c r="H38" s="355"/>
      <c r="I38" s="355"/>
      <c r="J38" s="355"/>
      <c r="K38" s="355"/>
      <c r="L38" s="355"/>
      <c r="M38" s="355"/>
      <c r="N38" s="355"/>
      <c r="O38" s="355"/>
      <c r="P38" s="355"/>
      <c r="Q38" s="355"/>
      <c r="R38" s="355"/>
      <c r="S38" s="355"/>
      <c r="T38" s="355"/>
      <c r="U38" s="355"/>
      <c r="V38" s="355"/>
      <c r="W38" s="355"/>
      <c r="X38" s="355"/>
      <c r="Y38" s="355"/>
      <c r="Z38" s="355"/>
      <c r="AA38" s="356"/>
      <c r="AB38" s="21"/>
      <c r="AC38" s="322"/>
      <c r="AD38" s="324"/>
      <c r="AE38" s="302"/>
      <c r="AF38" s="21"/>
      <c r="AG38" s="324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</row>
    <row r="39">
      <c r="A39" s="359">
        <f>IFERROR(__xludf.DUMMYFUNCTION("""COMPUTED_VALUE"""),45.0)</f>
        <v>45</v>
      </c>
      <c r="B39" s="350" t="str">
        <f>IFERROR(__xludf.DUMMYFUNCTION("""COMPUTED_VALUE"""),"Google play")</f>
        <v>Google play</v>
      </c>
      <c r="C39" s="351" t="str">
        <f>IFERROR(__xludf.DUMMYFUNCTION("IF(ISBLANK($B39),"""",query('Saída'!$K$3:$Q$505,""Select Q where M = '""&amp;$B39&amp;""' and K = ""&amp;$A39,0))"),"Nubank")</f>
        <v>Nubank</v>
      </c>
      <c r="D39" s="352"/>
      <c r="E39" s="353">
        <f>IFERROR(__xludf.DUMMYFUNCTION("if(isblank($B39),"""",split(rept(0&amp;""-"",month(query('Saída'!$J$3:$Q$505,""Select L where M = '""&amp;$B39&amp;""' and K = ""&amp;$A39,0))-1)&amp;rept(query('Saída'!$J$3:$Q$505,""Select P where M = '""&amp;$B39&amp;""' and K = ""&amp;$A39,0)&amp;""-"",query('Saída'!$J$3:$Q$505,""Select "&amp;"O where M = '""&amp;$B39&amp;""' and K = ""&amp;$A39,0)),""-""))"),0.0)</f>
        <v>0</v>
      </c>
      <c r="F39" s="355">
        <f>IFERROR(__xludf.DUMMYFUNCTION("""COMPUTED_VALUE"""),7.9)</f>
        <v>7.9</v>
      </c>
      <c r="G39" s="355"/>
      <c r="H39" s="355"/>
      <c r="I39" s="355"/>
      <c r="J39" s="355"/>
      <c r="K39" s="355"/>
      <c r="L39" s="355"/>
      <c r="M39" s="355"/>
      <c r="N39" s="355"/>
      <c r="O39" s="355"/>
      <c r="P39" s="355"/>
      <c r="Q39" s="355"/>
      <c r="R39" s="355"/>
      <c r="S39" s="355"/>
      <c r="T39" s="355"/>
      <c r="U39" s="355"/>
      <c r="V39" s="355"/>
      <c r="W39" s="355"/>
      <c r="X39" s="355"/>
      <c r="Y39" s="355"/>
      <c r="Z39" s="355"/>
      <c r="AA39" s="356"/>
      <c r="AB39" s="21"/>
      <c r="AC39" s="322"/>
      <c r="AD39" s="324"/>
      <c r="AE39" s="302"/>
      <c r="AF39" s="21"/>
      <c r="AG39" s="324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</row>
    <row r="40">
      <c r="A40" s="359">
        <f>IFERROR(__xludf.DUMMYFUNCTION("""COMPUTED_VALUE"""),83.0)</f>
        <v>83</v>
      </c>
      <c r="B40" s="350" t="str">
        <f>IFERROR(__xludf.DUMMYFUNCTION("""COMPUTED_VALUE"""),"Receptor x3")</f>
        <v>Receptor x3</v>
      </c>
      <c r="C40" s="351" t="str">
        <f>IFERROR(__xludf.DUMMYFUNCTION("IF(ISBLANK($B40),"""",query('Saída'!$K$3:$Q$505,""Select Q where M = '""&amp;$B40&amp;""' and K = ""&amp;$A40,0))"),"Nubank")</f>
        <v>Nubank</v>
      </c>
      <c r="D40" s="352"/>
      <c r="E40" s="353">
        <f>IFERROR(__xludf.DUMMYFUNCTION("if(isblank($B40),"""",split(rept(0&amp;""-"",month(query('Saída'!$J$3:$Q$505,""Select L where M = '""&amp;$B40&amp;""' and K = ""&amp;$A40,0))-1)&amp;rept(query('Saída'!$J$3:$Q$505,""Select P where M = '""&amp;$B40&amp;""' and K = ""&amp;$A40,0)&amp;""-"",query('Saída'!$J$3:$Q$505,""Select "&amp;"O where M = '""&amp;$B40&amp;""' and K = ""&amp;$A40,0)),""-""))"),0.0)</f>
        <v>0</v>
      </c>
      <c r="F40" s="355">
        <f>IFERROR(__xludf.DUMMYFUNCTION("""COMPUTED_VALUE"""),0.0)</f>
        <v>0</v>
      </c>
      <c r="G40" s="355">
        <f>IFERROR(__xludf.DUMMYFUNCTION("""COMPUTED_VALUE"""),88.29)</f>
        <v>88.29</v>
      </c>
      <c r="H40" s="355">
        <f>IFERROR(__xludf.DUMMYFUNCTION("""COMPUTED_VALUE"""),88.29)</f>
        <v>88.29</v>
      </c>
      <c r="I40" s="355">
        <f>IFERROR(__xludf.DUMMYFUNCTION("""COMPUTED_VALUE"""),88.29)</f>
        <v>88.29</v>
      </c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55"/>
      <c r="Z40" s="355"/>
      <c r="AA40" s="356"/>
      <c r="AB40" s="21"/>
      <c r="AC40" s="322"/>
      <c r="AD40" s="324"/>
      <c r="AE40" s="302"/>
      <c r="AF40" s="21"/>
      <c r="AG40" s="324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</row>
    <row r="41">
      <c r="A41" s="359">
        <f>IFERROR(__xludf.DUMMYFUNCTION("""COMPUTED_VALUE"""),84.0)</f>
        <v>84</v>
      </c>
      <c r="B41" s="350" t="str">
        <f>IFERROR(__xludf.DUMMYFUNCTION("""COMPUTED_VALUE"""),"99Pop1")</f>
        <v>99Pop1</v>
      </c>
      <c r="C41" s="351" t="str">
        <f>IFERROR(__xludf.DUMMYFUNCTION("IF(ISBLANK($B41),"""",query('Saída'!$K$3:$Q$505,""Select Q where M = '""&amp;$B41&amp;""' and K = ""&amp;$A41,0))"),"Nubank")</f>
        <v>Nubank</v>
      </c>
      <c r="D41" s="352"/>
      <c r="E41" s="353">
        <f>IFERROR(__xludf.DUMMYFUNCTION("if(isblank($B41),"""",split(rept(0&amp;""-"",month(query('Saída'!$J$3:$Q$505,""Select L where M = '""&amp;$B41&amp;""' and K = ""&amp;$A41,0))-1)&amp;rept(query('Saída'!$J$3:$Q$505,""Select P where M = '""&amp;$B41&amp;""' and K = ""&amp;$A41,0)&amp;""-"",query('Saída'!$J$3:$Q$505,""Select "&amp;"O where M = '""&amp;$B41&amp;""' and K = ""&amp;$A41,0)),""-""))"),0.0)</f>
        <v>0</v>
      </c>
      <c r="F41" s="355">
        <f>IFERROR(__xludf.DUMMYFUNCTION("""COMPUTED_VALUE"""),0.0)</f>
        <v>0</v>
      </c>
      <c r="G41" s="355">
        <f>IFERROR(__xludf.DUMMYFUNCTION("""COMPUTED_VALUE"""),57.03)</f>
        <v>57.03</v>
      </c>
      <c r="H41" s="355"/>
      <c r="I41" s="355"/>
      <c r="J41" s="355"/>
      <c r="K41" s="355"/>
      <c r="L41" s="355"/>
      <c r="M41" s="355"/>
      <c r="N41" s="355"/>
      <c r="O41" s="355"/>
      <c r="P41" s="355"/>
      <c r="Q41" s="355"/>
      <c r="R41" s="355"/>
      <c r="S41" s="355"/>
      <c r="T41" s="355"/>
      <c r="U41" s="355"/>
      <c r="V41" s="355"/>
      <c r="W41" s="355"/>
      <c r="X41" s="355"/>
      <c r="Y41" s="355"/>
      <c r="Z41" s="355"/>
      <c r="AA41" s="356"/>
      <c r="AB41" s="21"/>
      <c r="AC41" s="322"/>
      <c r="AD41" s="324"/>
      <c r="AE41" s="302"/>
      <c r="AF41" s="21"/>
      <c r="AG41" s="324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</row>
    <row r="42">
      <c r="A42" s="359">
        <f>IFERROR(__xludf.DUMMYFUNCTION("""COMPUTED_VALUE"""),85.0)</f>
        <v>85</v>
      </c>
      <c r="B42" s="350" t="str">
        <f>IFERROR(__xludf.DUMMYFUNCTION("""COMPUTED_VALUE"""),"99Pop2")</f>
        <v>99Pop2</v>
      </c>
      <c r="C42" s="351" t="str">
        <f>IFERROR(__xludf.DUMMYFUNCTION("IF(ISBLANK($B42),"""",query('Saída'!$K$3:$Q$505,""Select Q where M = '""&amp;$B42&amp;""' and K = ""&amp;$A42,0))"),"Nubank")</f>
        <v>Nubank</v>
      </c>
      <c r="D42" s="352"/>
      <c r="E42" s="353">
        <f>IFERROR(__xludf.DUMMYFUNCTION("if(isblank($B42),"""",split(rept(0&amp;""-"",month(query('Saída'!$J$3:$Q$505,""Select L where M = '""&amp;$B42&amp;""' and K = ""&amp;$A42,0))-1)&amp;rept(query('Saída'!$J$3:$Q$505,""Select P where M = '""&amp;$B42&amp;""' and K = ""&amp;$A42,0)&amp;""-"",query('Saída'!$J$3:$Q$505,""Select "&amp;"O where M = '""&amp;$B42&amp;""' and K = ""&amp;$A42,0)),""-""))"),0.0)</f>
        <v>0</v>
      </c>
      <c r="F42" s="355">
        <f>IFERROR(__xludf.DUMMYFUNCTION("""COMPUTED_VALUE"""),0.0)</f>
        <v>0</v>
      </c>
      <c r="G42" s="355">
        <f>IFERROR(__xludf.DUMMYFUNCTION("""COMPUTED_VALUE"""),10.64)</f>
        <v>10.64</v>
      </c>
      <c r="H42" s="355"/>
      <c r="I42" s="360"/>
      <c r="J42" s="355"/>
      <c r="K42" s="355"/>
      <c r="L42" s="355"/>
      <c r="M42" s="355"/>
      <c r="N42" s="355"/>
      <c r="O42" s="355"/>
      <c r="P42" s="355"/>
      <c r="Q42" s="355"/>
      <c r="R42" s="355"/>
      <c r="S42" s="355"/>
      <c r="T42" s="355"/>
      <c r="U42" s="355"/>
      <c r="V42" s="355"/>
      <c r="W42" s="355"/>
      <c r="X42" s="355"/>
      <c r="Y42" s="355"/>
      <c r="Z42" s="355"/>
      <c r="AA42" s="356"/>
      <c r="AB42" s="21"/>
      <c r="AC42" s="322"/>
      <c r="AD42" s="324"/>
      <c r="AE42" s="302"/>
      <c r="AF42" s="21"/>
      <c r="AG42" s="324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</row>
    <row r="43">
      <c r="A43" s="359">
        <f>IFERROR(__xludf.DUMMYFUNCTION("""COMPUTED_VALUE"""),86.0)</f>
        <v>86</v>
      </c>
      <c r="B43" s="350" t="str">
        <f>IFERROR(__xludf.DUMMYFUNCTION("""COMPUTED_VALUE"""),"Correios")</f>
        <v>Correios</v>
      </c>
      <c r="C43" s="351" t="str">
        <f>IFERROR(__xludf.DUMMYFUNCTION("IF(ISBLANK($B43),"""",query('Saída'!$K$3:$Q$505,""Select Q where M = '""&amp;$B43&amp;""' and K = ""&amp;$A43,0))"),"Nubank")</f>
        <v>Nubank</v>
      </c>
      <c r="D43" s="352"/>
      <c r="E43" s="353">
        <f>IFERROR(__xludf.DUMMYFUNCTION("if(isblank($B43),"""",split(rept(0&amp;""-"",month(query('Saída'!$J$3:$Q$505,""Select L where M = '""&amp;$B43&amp;""' and K = ""&amp;$A43,0))-1)&amp;rept(query('Saída'!$J$3:$Q$505,""Select P where M = '""&amp;$B43&amp;""' and K = ""&amp;$A43,0)&amp;""-"",query('Saída'!$J$3:$Q$505,""Select "&amp;"O where M = '""&amp;$B43&amp;""' and K = ""&amp;$A43,0)),""-""))"),0.0)</f>
        <v>0</v>
      </c>
      <c r="F43" s="355">
        <f>IFERROR(__xludf.DUMMYFUNCTION("""COMPUTED_VALUE"""),0.0)</f>
        <v>0</v>
      </c>
      <c r="G43" s="355">
        <f>IFERROR(__xludf.DUMMYFUNCTION("""COMPUTED_VALUE"""),15.0)</f>
        <v>15</v>
      </c>
      <c r="H43" s="355"/>
      <c r="I43" s="355"/>
      <c r="J43" s="355"/>
      <c r="K43" s="355"/>
      <c r="L43" s="355"/>
      <c r="M43" s="355"/>
      <c r="N43" s="355"/>
      <c r="O43" s="355"/>
      <c r="P43" s="355"/>
      <c r="Q43" s="355"/>
      <c r="R43" s="355"/>
      <c r="S43" s="355"/>
      <c r="T43" s="355"/>
      <c r="U43" s="355"/>
      <c r="V43" s="355"/>
      <c r="W43" s="355"/>
      <c r="X43" s="355"/>
      <c r="Y43" s="355"/>
      <c r="Z43" s="355"/>
      <c r="AA43" s="356"/>
      <c r="AB43" s="21"/>
      <c r="AC43" s="322"/>
      <c r="AD43" s="324"/>
      <c r="AE43" s="302"/>
      <c r="AF43" s="21"/>
      <c r="AG43" s="324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</row>
    <row r="44">
      <c r="A44" s="359">
        <f>IFERROR(__xludf.DUMMYFUNCTION("""COMPUTED_VALUE"""),87.0)</f>
        <v>87</v>
      </c>
      <c r="B44" s="350" t="str">
        <f>IFERROR(__xludf.DUMMYFUNCTION("""COMPUTED_VALUE"""),"Uber6")</f>
        <v>Uber6</v>
      </c>
      <c r="C44" s="351" t="str">
        <f>IFERROR(__xludf.DUMMYFUNCTION("IF(ISBLANK($B44),"""",query('Saída'!$K$3:$Q$505,""Select Q where M = '""&amp;$B44&amp;""' and K = ""&amp;$A44,0))"),"Nubank")</f>
        <v>Nubank</v>
      </c>
      <c r="D44" s="352"/>
      <c r="E44" s="353">
        <f>IFERROR(__xludf.DUMMYFUNCTION("if(isblank($B44),"""",split(rept(0&amp;""-"",month(query('Saída'!$J$3:$Q$505,""Select L where M = '""&amp;$B44&amp;""' and K = ""&amp;$A44,0))-1)&amp;rept(query('Saída'!$J$3:$Q$505,""Select P where M = '""&amp;$B44&amp;""' and K = ""&amp;$A44,0)&amp;""-"",query('Saída'!$J$3:$Q$505,""Select "&amp;"O where M = '""&amp;$B44&amp;""' and K = ""&amp;$A44,0)),""-""))"),0.0)</f>
        <v>0</v>
      </c>
      <c r="F44" s="355">
        <f>IFERROR(__xludf.DUMMYFUNCTION("""COMPUTED_VALUE"""),0.0)</f>
        <v>0</v>
      </c>
      <c r="G44" s="355">
        <f>IFERROR(__xludf.DUMMYFUNCTION("""COMPUTED_VALUE"""),9.73)</f>
        <v>9.73</v>
      </c>
      <c r="H44" s="355"/>
      <c r="I44" s="355"/>
      <c r="J44" s="355"/>
      <c r="K44" s="355"/>
      <c r="L44" s="355"/>
      <c r="M44" s="355"/>
      <c r="N44" s="355"/>
      <c r="O44" s="355"/>
      <c r="P44" s="355"/>
      <c r="Q44" s="355"/>
      <c r="R44" s="355"/>
      <c r="S44" s="355"/>
      <c r="T44" s="355"/>
      <c r="U44" s="355"/>
      <c r="V44" s="355"/>
      <c r="W44" s="355"/>
      <c r="X44" s="355"/>
      <c r="Y44" s="355"/>
      <c r="Z44" s="355"/>
      <c r="AA44" s="356"/>
      <c r="AB44" s="21"/>
      <c r="AC44" s="322"/>
      <c r="AD44" s="324"/>
      <c r="AE44" s="302"/>
      <c r="AF44" s="21"/>
      <c r="AG44" s="324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</row>
    <row r="45">
      <c r="A45" s="359">
        <f>IFERROR(__xludf.DUMMYFUNCTION("""COMPUTED_VALUE"""),88.0)</f>
        <v>88</v>
      </c>
      <c r="B45" s="350" t="str">
        <f>IFERROR(__xludf.DUMMYFUNCTION("""COMPUTED_VALUE"""),"Uber7")</f>
        <v>Uber7</v>
      </c>
      <c r="C45" s="351" t="str">
        <f>IFERROR(__xludf.DUMMYFUNCTION("IF(ISBLANK($B45),"""",query('Saída'!$K$3:$Q$505,""Select Q where M = '""&amp;$B45&amp;""' and K = ""&amp;$A45,0))"),"Nubank")</f>
        <v>Nubank</v>
      </c>
      <c r="D45" s="352"/>
      <c r="E45" s="353">
        <f>IFERROR(__xludf.DUMMYFUNCTION("if(isblank($B45),"""",split(rept(0&amp;""-"",month(query('Saída'!$J$3:$Q$505,""Select L where M = '""&amp;$B45&amp;""' and K = ""&amp;$A45,0))-1)&amp;rept(query('Saída'!$J$3:$Q$505,""Select P where M = '""&amp;$B45&amp;""' and K = ""&amp;$A45,0)&amp;""-"",query('Saída'!$J$3:$Q$505,""Select "&amp;"O where M = '""&amp;$B45&amp;""' and K = ""&amp;$A45,0)),""-""))"),0.0)</f>
        <v>0</v>
      </c>
      <c r="F45" s="355">
        <f>IFERROR(__xludf.DUMMYFUNCTION("""COMPUTED_VALUE"""),0.0)</f>
        <v>0</v>
      </c>
      <c r="G45" s="355">
        <f>IFERROR(__xludf.DUMMYFUNCTION("""COMPUTED_VALUE"""),12.51)</f>
        <v>12.51</v>
      </c>
      <c r="H45" s="355"/>
      <c r="I45" s="355"/>
      <c r="J45" s="355"/>
      <c r="K45" s="355"/>
      <c r="L45" s="355"/>
      <c r="M45" s="355"/>
      <c r="N45" s="355"/>
      <c r="O45" s="355"/>
      <c r="P45" s="355"/>
      <c r="Q45" s="355"/>
      <c r="R45" s="355"/>
      <c r="S45" s="355"/>
      <c r="T45" s="355"/>
      <c r="U45" s="355"/>
      <c r="V45" s="355"/>
      <c r="W45" s="355"/>
      <c r="X45" s="355"/>
      <c r="Y45" s="355"/>
      <c r="Z45" s="355"/>
      <c r="AA45" s="356"/>
      <c r="AB45" s="21"/>
      <c r="AC45" s="322"/>
      <c r="AD45" s="324"/>
      <c r="AE45" s="302"/>
      <c r="AF45" s="21"/>
      <c r="AG45" s="324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</row>
    <row r="46">
      <c r="A46" s="359">
        <f>IFERROR(__xludf.DUMMYFUNCTION("""COMPUTED_VALUE"""),124.0)</f>
        <v>124</v>
      </c>
      <c r="B46" s="350" t="str">
        <f>IFERROR(__xludf.DUMMYFUNCTION("""COMPUTED_VALUE"""),"Frete livro")</f>
        <v>Frete livro</v>
      </c>
      <c r="C46" s="351" t="str">
        <f>IFERROR(__xludf.DUMMYFUNCTION("IF(ISBLANK($B46),"""",query('Saída'!$K$3:$Q$505,""Select Q where M = '""&amp;$B46&amp;""' and K = ""&amp;$A46,0))"),"Nubank")</f>
        <v>Nubank</v>
      </c>
      <c r="D46" s="352"/>
      <c r="E46" s="353">
        <f>IFERROR(__xludf.DUMMYFUNCTION("if(isblank($B46),"""",split(rept(0&amp;""-"",month(query('Saída'!$J$3:$Q$505,""Select L where M = '""&amp;$B46&amp;""' and K = ""&amp;$A46,0))-1)&amp;rept(query('Saída'!$J$3:$Q$505,""Select P where M = '""&amp;$B46&amp;""' and K = ""&amp;$A46,0)&amp;""-"",query('Saída'!$J$3:$Q$505,""Select "&amp;"O where M = '""&amp;$B46&amp;""' and K = ""&amp;$A46,0)),""-""))"),0.0)</f>
        <v>0</v>
      </c>
      <c r="F46" s="355">
        <f>IFERROR(__xludf.DUMMYFUNCTION("""COMPUTED_VALUE"""),0.0)</f>
        <v>0</v>
      </c>
      <c r="G46" s="355">
        <f>IFERROR(__xludf.DUMMYFUNCTION("""COMPUTED_VALUE"""),0.0)</f>
        <v>0</v>
      </c>
      <c r="H46" s="355">
        <f>IFERROR(__xludf.DUMMYFUNCTION("""COMPUTED_VALUE"""),19.9)</f>
        <v>19.9</v>
      </c>
      <c r="I46" s="355"/>
      <c r="J46" s="355"/>
      <c r="K46" s="355"/>
      <c r="L46" s="355"/>
      <c r="M46" s="355"/>
      <c r="N46" s="355"/>
      <c r="O46" s="355"/>
      <c r="P46" s="355"/>
      <c r="Q46" s="355"/>
      <c r="R46" s="355"/>
      <c r="S46" s="355"/>
      <c r="T46" s="355"/>
      <c r="U46" s="355"/>
      <c r="V46" s="355"/>
      <c r="W46" s="355"/>
      <c r="X46" s="355"/>
      <c r="Y46" s="355"/>
      <c r="Z46" s="355"/>
      <c r="AA46" s="356"/>
      <c r="AB46" s="21"/>
      <c r="AC46" s="322"/>
      <c r="AD46" s="324"/>
      <c r="AE46" s="302"/>
      <c r="AF46" s="21"/>
      <c r="AG46" s="324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</row>
    <row r="47">
      <c r="A47" s="359">
        <f>IFERROR(__xludf.DUMMYFUNCTION("""COMPUTED_VALUE"""),126.0)</f>
        <v>126</v>
      </c>
      <c r="B47" s="350" t="str">
        <f>IFERROR(__xludf.DUMMYFUNCTION("""COMPUTED_VALUE"""),"Uber8")</f>
        <v>Uber8</v>
      </c>
      <c r="C47" s="351" t="str">
        <f>IFERROR(__xludf.DUMMYFUNCTION("IF(ISBLANK($B47),"""",query('Saída'!$K$3:$Q$505,""Select Q where M = '""&amp;$B47&amp;""' and K = ""&amp;$A47,0))"),"Nubank")</f>
        <v>Nubank</v>
      </c>
      <c r="D47" s="352"/>
      <c r="E47" s="353">
        <f>IFERROR(__xludf.DUMMYFUNCTION("if(isblank($B47),"""",split(rept(0&amp;""-"",month(query('Saída'!$J$3:$Q$505,""Select L where M = '""&amp;$B47&amp;""' and K = ""&amp;$A47,0))-1)&amp;rept(query('Saída'!$J$3:$Q$505,""Select P where M = '""&amp;$B47&amp;""' and K = ""&amp;$A47,0)&amp;""-"",query('Saída'!$J$3:$Q$505,""Select "&amp;"O where M = '""&amp;$B47&amp;""' and K = ""&amp;$A47,0)),""-""))"),0.0)</f>
        <v>0</v>
      </c>
      <c r="F47" s="355">
        <f>IFERROR(__xludf.DUMMYFUNCTION("""COMPUTED_VALUE"""),0.0)</f>
        <v>0</v>
      </c>
      <c r="G47" s="355">
        <f>IFERROR(__xludf.DUMMYFUNCTION("""COMPUTED_VALUE"""),0.0)</f>
        <v>0</v>
      </c>
      <c r="H47" s="355">
        <f>IFERROR(__xludf.DUMMYFUNCTION("""COMPUTED_VALUE"""),16.42)</f>
        <v>16.42</v>
      </c>
      <c r="I47" s="355"/>
      <c r="J47" s="355"/>
      <c r="K47" s="355"/>
      <c r="L47" s="355"/>
      <c r="M47" s="355"/>
      <c r="N47" s="355"/>
      <c r="O47" s="355"/>
      <c r="P47" s="355"/>
      <c r="Q47" s="355"/>
      <c r="R47" s="355"/>
      <c r="S47" s="355"/>
      <c r="T47" s="355"/>
      <c r="U47" s="355"/>
      <c r="V47" s="355"/>
      <c r="W47" s="355"/>
      <c r="X47" s="355"/>
      <c r="Y47" s="355"/>
      <c r="Z47" s="355"/>
      <c r="AA47" s="356"/>
      <c r="AB47" s="21"/>
      <c r="AC47" s="322"/>
      <c r="AD47" s="324"/>
      <c r="AE47" s="302"/>
      <c r="AF47" s="21"/>
      <c r="AG47" s="324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</row>
    <row r="48">
      <c r="A48" s="359">
        <f>IFERROR(__xludf.DUMMYFUNCTION("""COMPUTED_VALUE"""),127.0)</f>
        <v>127</v>
      </c>
      <c r="B48" s="350" t="str">
        <f>IFERROR(__xludf.DUMMYFUNCTION("""COMPUTED_VALUE"""),"99")</f>
        <v>99</v>
      </c>
      <c r="C48" s="351" t="str">
        <f>IFERROR(__xludf.DUMMYFUNCTION("IF(ISBLANK($B48),"""",query('Saída'!$K$3:$Q$505,""Select Q where M = '""&amp;$B48&amp;""' and K = ""&amp;$A48,0))"),"Nubank")</f>
        <v>Nubank</v>
      </c>
      <c r="D48" s="352"/>
      <c r="E48" s="353">
        <f>IFERROR(__xludf.DUMMYFUNCTION("if(isblank($B48),"""",split(rept(0&amp;""-"",month(query('Saída'!$J$3:$Q$505,""Select L where M = '""&amp;$B48&amp;""' and K = ""&amp;$A48,0))-1)&amp;rept(query('Saída'!$J$3:$Q$505,""Select P where M = '""&amp;$B48&amp;""' and K = ""&amp;$A48,0)&amp;""-"",query('Saída'!$J$3:$Q$505,""Select "&amp;"O where M = '""&amp;$B48&amp;""' and K = ""&amp;$A48,0)),""-""))"),0.0)</f>
        <v>0</v>
      </c>
      <c r="F48" s="355">
        <f>IFERROR(__xludf.DUMMYFUNCTION("""COMPUTED_VALUE"""),0.0)</f>
        <v>0</v>
      </c>
      <c r="G48" s="355">
        <f>IFERROR(__xludf.DUMMYFUNCTION("""COMPUTED_VALUE"""),0.0)</f>
        <v>0</v>
      </c>
      <c r="H48" s="355">
        <f>IFERROR(__xludf.DUMMYFUNCTION("""COMPUTED_VALUE"""),13.2)</f>
        <v>13.2</v>
      </c>
      <c r="I48" s="355"/>
      <c r="J48" s="355"/>
      <c r="K48" s="355"/>
      <c r="L48" s="355"/>
      <c r="M48" s="355"/>
      <c r="N48" s="355"/>
      <c r="O48" s="355"/>
      <c r="P48" s="355"/>
      <c r="Q48" s="355"/>
      <c r="R48" s="355"/>
      <c r="S48" s="355"/>
      <c r="T48" s="355"/>
      <c r="U48" s="355"/>
      <c r="V48" s="355"/>
      <c r="W48" s="355"/>
      <c r="X48" s="355"/>
      <c r="Y48" s="355"/>
      <c r="Z48" s="355"/>
      <c r="AA48" s="356"/>
      <c r="AB48" s="21"/>
      <c r="AC48" s="322"/>
      <c r="AD48" s="324"/>
      <c r="AE48" s="302"/>
      <c r="AF48" s="21"/>
      <c r="AG48" s="324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</row>
    <row r="49">
      <c r="A49" s="359">
        <f>IFERROR(__xludf.DUMMYFUNCTION("""COMPUTED_VALUE"""),165.0)</f>
        <v>165</v>
      </c>
      <c r="B49" s="350" t="str">
        <f>IFERROR(__xludf.DUMMYFUNCTION("""COMPUTED_VALUE"""),"Juros")</f>
        <v>Juros</v>
      </c>
      <c r="C49" s="351" t="str">
        <f>IFERROR(__xludf.DUMMYFUNCTION("IF(ISBLANK($B49),"""",query('Saída'!$K$3:$Q$505,""Select Q where M = '""&amp;$B49&amp;""' and K = ""&amp;$A49,0))"),"Nubank")</f>
        <v>Nubank</v>
      </c>
      <c r="D49" s="352"/>
      <c r="E49" s="353">
        <f>IFERROR(__xludf.DUMMYFUNCTION("if(isblank($B49),"""",split(rept(0&amp;""-"",month(query('Saída'!$J$3:$Q$505,""Select L where M = '""&amp;$B49&amp;""' and K = ""&amp;$A49,0))-1)&amp;rept(query('Saída'!$J$3:$Q$505,""Select P where M = '""&amp;$B49&amp;""' and K = ""&amp;$A49,0)&amp;""-"",query('Saída'!$J$3:$Q$505,""Select "&amp;"O where M = '""&amp;$B49&amp;""' and K = ""&amp;$A49,0)),""-""))"),0.0)</f>
        <v>0</v>
      </c>
      <c r="F49" s="355">
        <f>IFERROR(__xludf.DUMMYFUNCTION("""COMPUTED_VALUE"""),0.0)</f>
        <v>0</v>
      </c>
      <c r="G49" s="355">
        <f>IFERROR(__xludf.DUMMYFUNCTION("""COMPUTED_VALUE"""),0.0)</f>
        <v>0</v>
      </c>
      <c r="H49" s="355">
        <f>IFERROR(__xludf.DUMMYFUNCTION("""COMPUTED_VALUE"""),0.0)</f>
        <v>0</v>
      </c>
      <c r="I49" s="355">
        <f>IFERROR(__xludf.DUMMYFUNCTION("""COMPUTED_VALUE"""),0.53)</f>
        <v>0.53</v>
      </c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55"/>
      <c r="Z49" s="355"/>
      <c r="AA49" s="356"/>
      <c r="AB49" s="21"/>
      <c r="AC49" s="322"/>
      <c r="AD49" s="324"/>
      <c r="AE49" s="302"/>
      <c r="AF49" s="21"/>
      <c r="AG49" s="324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</row>
    <row r="50">
      <c r="A50" s="359">
        <f>IFERROR(__xludf.DUMMYFUNCTION("""COMPUTED_VALUE"""),166.0)</f>
        <v>166</v>
      </c>
      <c r="B50" s="350" t="str">
        <f>IFERROR(__xludf.DUMMYFUNCTION("""COMPUTED_VALUE"""),"Google EA")</f>
        <v>Google EA</v>
      </c>
      <c r="C50" s="351" t="str">
        <f>IFERROR(__xludf.DUMMYFUNCTION("IF(ISBLANK($B50),"""",query('Saída'!$K$3:$Q$505,""Select Q where M = '""&amp;$B50&amp;""' and K = ""&amp;$A50,0))"),"Nubank")</f>
        <v>Nubank</v>
      </c>
      <c r="D50" s="352"/>
      <c r="E50" s="353">
        <f>IFERROR(__xludf.DUMMYFUNCTION("if(isblank($B50),"""",split(rept(0&amp;""-"",month(query('Saída'!$J$3:$Q$505,""Select L where M = '""&amp;$B50&amp;""' and K = ""&amp;$A50,0))-1)&amp;rept(query('Saída'!$J$3:$Q$505,""Select P where M = '""&amp;$B50&amp;""' and K = ""&amp;$A50,0)&amp;""-"",query('Saída'!$J$3:$Q$505,""Select "&amp;"O where M = '""&amp;$B50&amp;""' and K = ""&amp;$A50,0)),""-""))"),0.0)</f>
        <v>0</v>
      </c>
      <c r="F50" s="355">
        <f>IFERROR(__xludf.DUMMYFUNCTION("""COMPUTED_VALUE"""),0.0)</f>
        <v>0</v>
      </c>
      <c r="G50" s="355">
        <f>IFERROR(__xludf.DUMMYFUNCTION("""COMPUTED_VALUE"""),0.0)</f>
        <v>0</v>
      </c>
      <c r="H50" s="355">
        <f>IFERROR(__xludf.DUMMYFUNCTION("""COMPUTED_VALUE"""),0.0)</f>
        <v>0</v>
      </c>
      <c r="I50" s="355">
        <f>IFERROR(__xludf.DUMMYFUNCTION("""COMPUTED_VALUE"""),18.9)</f>
        <v>18.9</v>
      </c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55"/>
      <c r="Z50" s="355"/>
      <c r="AA50" s="356"/>
      <c r="AB50" s="21"/>
      <c r="AC50" s="322"/>
      <c r="AD50" s="324"/>
      <c r="AE50" s="302"/>
      <c r="AF50" s="21"/>
      <c r="AG50" s="324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</row>
    <row r="51">
      <c r="A51" s="359">
        <f>IFERROR(__xludf.DUMMYFUNCTION("""COMPUTED_VALUE"""),206.0)</f>
        <v>206</v>
      </c>
      <c r="B51" s="350" t="str">
        <f>IFERROR(__xludf.DUMMYFUNCTION("""COMPUTED_VALUE"""),"Wix1")</f>
        <v>Wix1</v>
      </c>
      <c r="C51" s="351" t="str">
        <f>IFERROR(__xludf.DUMMYFUNCTION("IF(ISBLANK($B51),"""",query('Saída'!$K$3:$Q$505,""Select Q where M = '""&amp;$B51&amp;""' and K = ""&amp;$A51,0))"),"Nubank")</f>
        <v>Nubank</v>
      </c>
      <c r="D51" s="352"/>
      <c r="E51" s="353">
        <f>IFERROR(__xludf.DUMMYFUNCTION("if(isblank($B51),"""",split(rept(0&amp;""-"",month(query('Saída'!$J$3:$Q$505,""Select L where M = '""&amp;$B51&amp;""' and K = ""&amp;$A51,0))-1)&amp;rept(query('Saída'!$J$3:$Q$505,""Select P where M = '""&amp;$B51&amp;""' and K = ""&amp;$A51,0)&amp;""-"",query('Saída'!$J$3:$Q$505,""Select "&amp;"O where M = '""&amp;$B51&amp;""' and K = ""&amp;$A51,0)),""-""))"),0.0)</f>
        <v>0</v>
      </c>
      <c r="F51" s="355">
        <f>IFERROR(__xludf.DUMMYFUNCTION("""COMPUTED_VALUE"""),0.0)</f>
        <v>0</v>
      </c>
      <c r="G51" s="355">
        <f>IFERROR(__xludf.DUMMYFUNCTION("""COMPUTED_VALUE"""),0.0)</f>
        <v>0</v>
      </c>
      <c r="H51" s="355">
        <f>IFERROR(__xludf.DUMMYFUNCTION("""COMPUTED_VALUE"""),0.0)</f>
        <v>0</v>
      </c>
      <c r="I51" s="355">
        <f>IFERROR(__xludf.DUMMYFUNCTION("""COMPUTED_VALUE"""),0.0)</f>
        <v>0</v>
      </c>
      <c r="J51" s="355">
        <f>IFERROR(__xludf.DUMMYFUNCTION("""COMPUTED_VALUE"""),228.0)</f>
        <v>228</v>
      </c>
      <c r="K51" s="355"/>
      <c r="L51" s="355"/>
      <c r="M51" s="355"/>
      <c r="N51" s="355"/>
      <c r="O51" s="355"/>
      <c r="P51" s="355"/>
      <c r="Q51" s="355"/>
      <c r="R51" s="355"/>
      <c r="S51" s="355"/>
      <c r="T51" s="355"/>
      <c r="U51" s="355"/>
      <c r="V51" s="355"/>
      <c r="W51" s="355"/>
      <c r="X51" s="355"/>
      <c r="Y51" s="355"/>
      <c r="Z51" s="355"/>
      <c r="AA51" s="356"/>
      <c r="AB51" s="21"/>
      <c r="AC51" s="322"/>
      <c r="AD51" s="324"/>
      <c r="AE51" s="302"/>
      <c r="AF51" s="21"/>
      <c r="AG51" s="324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</row>
    <row r="52">
      <c r="A52" s="359">
        <f>IFERROR(__xludf.DUMMYFUNCTION("""COMPUTED_VALUE"""),207.0)</f>
        <v>207</v>
      </c>
      <c r="B52" s="350" t="str">
        <f>IFERROR(__xludf.DUMMYFUNCTION("""COMPUTED_VALUE"""),"Wix2")</f>
        <v>Wix2</v>
      </c>
      <c r="C52" s="351" t="str">
        <f>IFERROR(__xludf.DUMMYFUNCTION("IF(ISBLANK($B52),"""",query('Saída'!$K$3:$Q$505,""Select Q where M = '""&amp;$B52&amp;""' and K = ""&amp;$A52,0))"),"Nubank")</f>
        <v>Nubank</v>
      </c>
      <c r="D52" s="352"/>
      <c r="E52" s="353">
        <f>IFERROR(__xludf.DUMMYFUNCTION("if(isblank($B52),"""",split(rept(0&amp;""-"",month(query('Saída'!$J$3:$Q$505,""Select L where M = '""&amp;$B52&amp;""' and K = ""&amp;$A52,0))-1)&amp;rept(query('Saída'!$J$3:$Q$505,""Select P where M = '""&amp;$B52&amp;""' and K = ""&amp;$A52,0)&amp;""-"",query('Saída'!$J$3:$Q$505,""Select "&amp;"O where M = '""&amp;$B52&amp;""' and K = ""&amp;$A52,0)),""-""))"),0.0)</f>
        <v>0</v>
      </c>
      <c r="F52" s="355">
        <f>IFERROR(__xludf.DUMMYFUNCTION("""COMPUTED_VALUE"""),0.0)</f>
        <v>0</v>
      </c>
      <c r="G52" s="355">
        <f>IFERROR(__xludf.DUMMYFUNCTION("""COMPUTED_VALUE"""),0.0)</f>
        <v>0</v>
      </c>
      <c r="H52" s="355">
        <f>IFERROR(__xludf.DUMMYFUNCTION("""COMPUTED_VALUE"""),0.0)</f>
        <v>0</v>
      </c>
      <c r="I52" s="355">
        <f>IFERROR(__xludf.DUMMYFUNCTION("""COMPUTED_VALUE"""),0.0)</f>
        <v>0</v>
      </c>
      <c r="J52" s="355">
        <f>IFERROR(__xludf.DUMMYFUNCTION("""COMPUTED_VALUE"""),52.5)</f>
        <v>52.5</v>
      </c>
      <c r="K52" s="355"/>
      <c r="L52" s="355"/>
      <c r="M52" s="355"/>
      <c r="N52" s="355"/>
      <c r="O52" s="355"/>
      <c r="P52" s="355"/>
      <c r="Q52" s="355"/>
      <c r="R52" s="355"/>
      <c r="S52" s="355"/>
      <c r="T52" s="355"/>
      <c r="U52" s="355"/>
      <c r="V52" s="355"/>
      <c r="W52" s="355"/>
      <c r="X52" s="355"/>
      <c r="Y52" s="355"/>
      <c r="Z52" s="355"/>
      <c r="AA52" s="356"/>
      <c r="AB52" s="21"/>
      <c r="AC52" s="322"/>
      <c r="AD52" s="324"/>
      <c r="AE52" s="302"/>
      <c r="AF52" s="21"/>
      <c r="AG52" s="324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</row>
    <row r="53">
      <c r="A53" s="359">
        <f>IFERROR(__xludf.DUMMYFUNCTION("""COMPUTED_VALUE"""),208.0)</f>
        <v>208</v>
      </c>
      <c r="B53" s="350" t="str">
        <f>IFERROR(__xludf.DUMMYFUNCTION("""COMPUTED_VALUE"""),"Kindle")</f>
        <v>Kindle</v>
      </c>
      <c r="C53" s="351" t="str">
        <f>IFERROR(__xludf.DUMMYFUNCTION("IF(ISBLANK($B53),"""",query('Saída'!$K$3:$Q$505,""Select Q where M = '""&amp;$B53&amp;""' and K = ""&amp;$A53,0))"),"Nubank")</f>
        <v>Nubank</v>
      </c>
      <c r="D53" s="352"/>
      <c r="E53" s="353">
        <f>IFERROR(__xludf.DUMMYFUNCTION("if(isblank($B53),"""",split(rept(0&amp;""-"",month(query('Saída'!$J$3:$Q$505,""Select L where M = '""&amp;$B53&amp;""' and K = ""&amp;$A53,0))-1)&amp;rept(query('Saída'!$J$3:$Q$505,""Select P where M = '""&amp;$B53&amp;""' and K = ""&amp;$A53,0)&amp;""-"",query('Saída'!$J$3:$Q$505,""Select "&amp;"O where M = '""&amp;$B53&amp;""' and K = ""&amp;$A53,0)),""-""))"),0.0)</f>
        <v>0</v>
      </c>
      <c r="F53" s="355">
        <f>IFERROR(__xludf.DUMMYFUNCTION("""COMPUTED_VALUE"""),0.0)</f>
        <v>0</v>
      </c>
      <c r="G53" s="355">
        <f>IFERROR(__xludf.DUMMYFUNCTION("""COMPUTED_VALUE"""),0.0)</f>
        <v>0</v>
      </c>
      <c r="H53" s="355">
        <f>IFERROR(__xludf.DUMMYFUNCTION("""COMPUTED_VALUE"""),0.0)</f>
        <v>0</v>
      </c>
      <c r="I53" s="355">
        <f>IFERROR(__xludf.DUMMYFUNCTION("""COMPUTED_VALUE"""),0.0)</f>
        <v>0</v>
      </c>
      <c r="J53" s="355">
        <f>IFERROR(__xludf.DUMMYFUNCTION("""COMPUTED_VALUE"""),161.9)</f>
        <v>161.9</v>
      </c>
      <c r="K53" s="355"/>
      <c r="L53" s="355"/>
      <c r="M53" s="355"/>
      <c r="N53" s="355"/>
      <c r="O53" s="355"/>
      <c r="P53" s="355"/>
      <c r="Q53" s="355"/>
      <c r="R53" s="355"/>
      <c r="S53" s="355"/>
      <c r="T53" s="355"/>
      <c r="U53" s="355"/>
      <c r="V53" s="355"/>
      <c r="W53" s="355"/>
      <c r="X53" s="355"/>
      <c r="Y53" s="355"/>
      <c r="Z53" s="355"/>
      <c r="AA53" s="356"/>
      <c r="AB53" s="21"/>
      <c r="AC53" s="322"/>
      <c r="AD53" s="324"/>
      <c r="AE53" s="302"/>
      <c r="AF53" s="21"/>
      <c r="AG53" s="324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</row>
    <row r="54">
      <c r="A54" s="359">
        <f>IFERROR(__xludf.DUMMYFUNCTION("""COMPUTED_VALUE"""),288.0)</f>
        <v>288</v>
      </c>
      <c r="B54" s="350" t="str">
        <f>IFERROR(__xludf.DUMMYFUNCTION("""COMPUTED_VALUE"""),"Agaé1")</f>
        <v>Agaé1</v>
      </c>
      <c r="C54" s="351" t="str">
        <f>IFERROR(__xludf.DUMMYFUNCTION("IF(ISBLANK($B54),"""",query('Saída'!$K$3:$Q$505,""Select Q where M = '""&amp;$B54&amp;""' and K = ""&amp;$A54,0))"),"Nubank")</f>
        <v>Nubank</v>
      </c>
      <c r="D54" s="352"/>
      <c r="E54" s="353">
        <f>IFERROR(__xludf.DUMMYFUNCTION("if(isblank($B54),"""",split(rept(0&amp;""-"",month(query('Saída'!$J$3:$Q$505,""Select L where M = '""&amp;$B54&amp;""' and K = ""&amp;$A54,0))-1)&amp;rept(query('Saída'!$J$3:$Q$505,""Select P where M = '""&amp;$B54&amp;""' and K = ""&amp;$A54,0)&amp;""-"",query('Saída'!$J$3:$Q$505,""Select "&amp;"O where M = '""&amp;$B54&amp;""' and K = ""&amp;$A54,0)),""-""))"),0.0)</f>
        <v>0</v>
      </c>
      <c r="F54" s="355">
        <f>IFERROR(__xludf.DUMMYFUNCTION("""COMPUTED_VALUE"""),0.0)</f>
        <v>0</v>
      </c>
      <c r="G54" s="355">
        <f>IFERROR(__xludf.DUMMYFUNCTION("""COMPUTED_VALUE"""),0.0)</f>
        <v>0</v>
      </c>
      <c r="H54" s="355">
        <f>IFERROR(__xludf.DUMMYFUNCTION("""COMPUTED_VALUE"""),0.0)</f>
        <v>0</v>
      </c>
      <c r="I54" s="355">
        <f>IFERROR(__xludf.DUMMYFUNCTION("""COMPUTED_VALUE"""),0.0)</f>
        <v>0</v>
      </c>
      <c r="J54" s="355">
        <f>IFERROR(__xludf.DUMMYFUNCTION("""COMPUTED_VALUE"""),0.0)</f>
        <v>0</v>
      </c>
      <c r="K54" s="355">
        <f>IFERROR(__xludf.DUMMYFUNCTION("""COMPUTED_VALUE"""),0.0)</f>
        <v>0</v>
      </c>
      <c r="L54" s="355">
        <f>IFERROR(__xludf.DUMMYFUNCTION("""COMPUTED_VALUE"""),65.665)</f>
        <v>65.665</v>
      </c>
      <c r="M54" s="355">
        <f>IFERROR(__xludf.DUMMYFUNCTION("""COMPUTED_VALUE"""),65.665)</f>
        <v>65.665</v>
      </c>
      <c r="N54" s="355"/>
      <c r="O54" s="355"/>
      <c r="P54" s="355"/>
      <c r="Q54" s="355"/>
      <c r="R54" s="355"/>
      <c r="S54" s="355"/>
      <c r="T54" s="355"/>
      <c r="U54" s="355"/>
      <c r="V54" s="355"/>
      <c r="W54" s="355"/>
      <c r="X54" s="355"/>
      <c r="Y54" s="355"/>
      <c r="Z54" s="355"/>
      <c r="AA54" s="356"/>
      <c r="AB54" s="21"/>
      <c r="AC54" s="322"/>
      <c r="AD54" s="324"/>
      <c r="AE54" s="302"/>
      <c r="AF54" s="21"/>
      <c r="AG54" s="324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</row>
    <row r="55">
      <c r="A55" s="359">
        <f>IFERROR(__xludf.DUMMYFUNCTION("""COMPUTED_VALUE"""),329.0)</f>
        <v>329</v>
      </c>
      <c r="B55" s="350" t="str">
        <f>IFERROR(__xludf.DUMMYFUNCTION("""COMPUTED_VALUE"""),"Inside")</f>
        <v>Inside</v>
      </c>
      <c r="C55" s="351" t="str">
        <f>IFERROR(__xludf.DUMMYFUNCTION("IF(ISBLANK($B55),"""",query('Saída'!$K$3:$Q$505,""Select Q where M = '""&amp;$B55&amp;""' and K = ""&amp;$A55,0))"),"Nubank")</f>
        <v>Nubank</v>
      </c>
      <c r="D55" s="352"/>
      <c r="E55" s="353">
        <f>IFERROR(__xludf.DUMMYFUNCTION("if(isblank($B55),"""",split(rept(0&amp;""-"",month(query('Saída'!$J$3:$Q$505,""Select L where M = '""&amp;$B55&amp;""' and K = ""&amp;$A55,0))-1)&amp;rept(query('Saída'!$J$3:$Q$505,""Select P where M = '""&amp;$B55&amp;""' and K = ""&amp;$A55,0)&amp;""-"",query('Saída'!$J$3:$Q$505,""Select "&amp;"O where M = '""&amp;$B55&amp;""' and K = ""&amp;$A55,0)),""-""))"),0.0)</f>
        <v>0</v>
      </c>
      <c r="F55" s="355">
        <f>IFERROR(__xludf.DUMMYFUNCTION("""COMPUTED_VALUE"""),0.0)</f>
        <v>0</v>
      </c>
      <c r="G55" s="355">
        <f>IFERROR(__xludf.DUMMYFUNCTION("""COMPUTED_VALUE"""),0.0)</f>
        <v>0</v>
      </c>
      <c r="H55" s="355">
        <f>IFERROR(__xludf.DUMMYFUNCTION("""COMPUTED_VALUE"""),0.0)</f>
        <v>0</v>
      </c>
      <c r="I55" s="355">
        <f>IFERROR(__xludf.DUMMYFUNCTION("""COMPUTED_VALUE"""),0.0)</f>
        <v>0</v>
      </c>
      <c r="J55" s="355">
        <f>IFERROR(__xludf.DUMMYFUNCTION("""COMPUTED_VALUE"""),0.0)</f>
        <v>0</v>
      </c>
      <c r="K55" s="355">
        <f>IFERROR(__xludf.DUMMYFUNCTION("""COMPUTED_VALUE"""),0.0)</f>
        <v>0</v>
      </c>
      <c r="L55" s="355">
        <f>IFERROR(__xludf.DUMMYFUNCTION("""COMPUTED_VALUE"""),0.0)</f>
        <v>0</v>
      </c>
      <c r="M55" s="355">
        <f>IFERROR(__xludf.DUMMYFUNCTION("""COMPUTED_VALUE"""),81.4583333333333)</f>
        <v>81.45833333</v>
      </c>
      <c r="N55" s="355">
        <f>IFERROR(__xludf.DUMMYFUNCTION("""COMPUTED_VALUE"""),81.4583333333333)</f>
        <v>81.45833333</v>
      </c>
      <c r="O55" s="355">
        <f>IFERROR(__xludf.DUMMYFUNCTION("""COMPUTED_VALUE"""),81.4583333333333)</f>
        <v>81.45833333</v>
      </c>
      <c r="P55" s="355">
        <f>IFERROR(__xludf.DUMMYFUNCTION("""COMPUTED_VALUE"""),81.4583333333333)</f>
        <v>81.45833333</v>
      </c>
      <c r="Q55" s="355">
        <f>IFERROR(__xludf.DUMMYFUNCTION("""COMPUTED_VALUE"""),81.4583333333333)</f>
        <v>81.45833333</v>
      </c>
      <c r="R55" s="355">
        <f>IFERROR(__xludf.DUMMYFUNCTION("""COMPUTED_VALUE"""),81.4583333333333)</f>
        <v>81.45833333</v>
      </c>
      <c r="S55" s="355">
        <f>IFERROR(__xludf.DUMMYFUNCTION("""COMPUTED_VALUE"""),81.4583333333333)</f>
        <v>81.45833333</v>
      </c>
      <c r="T55" s="355">
        <f>IFERROR(__xludf.DUMMYFUNCTION("""COMPUTED_VALUE"""),81.4583333333333)</f>
        <v>81.45833333</v>
      </c>
      <c r="U55" s="355">
        <f>IFERROR(__xludf.DUMMYFUNCTION("""COMPUTED_VALUE"""),81.4583333333333)</f>
        <v>81.45833333</v>
      </c>
      <c r="V55" s="355">
        <f>IFERROR(__xludf.DUMMYFUNCTION("""COMPUTED_VALUE"""),81.4583333333333)</f>
        <v>81.45833333</v>
      </c>
      <c r="W55" s="355">
        <f>IFERROR(__xludf.DUMMYFUNCTION("""COMPUTED_VALUE"""),81.4583333333333)</f>
        <v>81.45833333</v>
      </c>
      <c r="X55" s="355">
        <f>IFERROR(__xludf.DUMMYFUNCTION("""COMPUTED_VALUE"""),81.4583333333333)</f>
        <v>81.45833333</v>
      </c>
      <c r="Y55" s="355"/>
      <c r="Z55" s="355"/>
      <c r="AA55" s="356"/>
      <c r="AB55" s="21"/>
      <c r="AC55" s="322"/>
      <c r="AD55" s="324"/>
      <c r="AE55" s="302"/>
      <c r="AF55" s="21"/>
      <c r="AG55" s="324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</row>
    <row r="56">
      <c r="A56" s="359">
        <f>IFERROR(__xludf.DUMMYFUNCTION("""COMPUTED_VALUE"""),330.0)</f>
        <v>330</v>
      </c>
      <c r="B56" s="350" t="str">
        <f>IFERROR(__xludf.DUMMYFUNCTION("""COMPUTED_VALUE"""),"Peça ML Stenio")</f>
        <v>Peça ML Stenio</v>
      </c>
      <c r="C56" s="351" t="str">
        <f>IFERROR(__xludf.DUMMYFUNCTION("IF(ISBLANK($B56),"""",query('Saída'!$K$3:$Q$505,""Select Q where M = '""&amp;$B56&amp;""' and K = ""&amp;$A56,0))"),"Nubank")</f>
        <v>Nubank</v>
      </c>
      <c r="D56" s="352"/>
      <c r="E56" s="353">
        <f>IFERROR(__xludf.DUMMYFUNCTION("if(isblank($B56),"""",split(rept(0&amp;""-"",month(query('Saída'!$J$3:$Q$505,""Select L where M = '""&amp;$B56&amp;""' and K = ""&amp;$A56,0))-1)&amp;rept(query('Saída'!$J$3:$Q$505,""Select P where M = '""&amp;$B56&amp;""' and K = ""&amp;$A56,0)&amp;""-"",query('Saída'!$J$3:$Q$505,""Select "&amp;"O where M = '""&amp;$B56&amp;""' and K = ""&amp;$A56,0)),""-""))"),0.0)</f>
        <v>0</v>
      </c>
      <c r="F56" s="355">
        <f>IFERROR(__xludf.DUMMYFUNCTION("""COMPUTED_VALUE"""),0.0)</f>
        <v>0</v>
      </c>
      <c r="G56" s="355">
        <f>IFERROR(__xludf.DUMMYFUNCTION("""COMPUTED_VALUE"""),0.0)</f>
        <v>0</v>
      </c>
      <c r="H56" s="355">
        <f>IFERROR(__xludf.DUMMYFUNCTION("""COMPUTED_VALUE"""),0.0)</f>
        <v>0</v>
      </c>
      <c r="I56" s="355">
        <f>IFERROR(__xludf.DUMMYFUNCTION("""COMPUTED_VALUE"""),0.0)</f>
        <v>0</v>
      </c>
      <c r="J56" s="355">
        <f>IFERROR(__xludf.DUMMYFUNCTION("""COMPUTED_VALUE"""),0.0)</f>
        <v>0</v>
      </c>
      <c r="K56" s="355">
        <f>IFERROR(__xludf.DUMMYFUNCTION("""COMPUTED_VALUE"""),0.0)</f>
        <v>0</v>
      </c>
      <c r="L56" s="355">
        <f>IFERROR(__xludf.DUMMYFUNCTION("""COMPUTED_VALUE"""),0.0)</f>
        <v>0</v>
      </c>
      <c r="M56" s="355">
        <f>IFERROR(__xludf.DUMMYFUNCTION("""COMPUTED_VALUE"""),52.0)</f>
        <v>52</v>
      </c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55"/>
      <c r="Z56" s="355"/>
      <c r="AA56" s="356"/>
      <c r="AB56" s="21"/>
      <c r="AC56" s="322"/>
      <c r="AD56" s="324"/>
      <c r="AE56" s="302"/>
      <c r="AF56" s="21"/>
      <c r="AG56" s="324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</row>
    <row r="57">
      <c r="A57" s="359">
        <f>IFERROR(__xludf.DUMMYFUNCTION("""COMPUTED_VALUE"""),370.0)</f>
        <v>370</v>
      </c>
      <c r="B57" s="350" t="str">
        <f>IFERROR(__xludf.DUMMYFUNCTION("""COMPUTED_VALUE"""),"Alura")</f>
        <v>Alura</v>
      </c>
      <c r="C57" s="351" t="str">
        <f>IFERROR(__xludf.DUMMYFUNCTION("IF(ISBLANK($B57),"""",query('Saída'!$K$3:$Q$505,""Select Q where M = '""&amp;$B57&amp;""' and K = ""&amp;$A57,0))"),"Nubank")</f>
        <v>Nubank</v>
      </c>
      <c r="D57" s="352"/>
      <c r="E57" s="353">
        <f>IFERROR(__xludf.DUMMYFUNCTION("if(isblank($B57),"""",split(rept(0&amp;""-"",month(query('Saída'!$J$3:$Q$505,""Select L where M = '""&amp;$B57&amp;""' and K = ""&amp;$A57,0))-1)&amp;rept(query('Saída'!$J$3:$Q$505,""Select P where M = '""&amp;$B57&amp;""' and K = ""&amp;$A57,0)&amp;""-"",query('Saída'!$J$3:$Q$505,""Select "&amp;"O where M = '""&amp;$B57&amp;""' and K = ""&amp;$A57,0)),""-""))"),0.0)</f>
        <v>0</v>
      </c>
      <c r="F57" s="355">
        <f>IFERROR(__xludf.DUMMYFUNCTION("""COMPUTED_VALUE"""),0.0)</f>
        <v>0</v>
      </c>
      <c r="G57" s="355">
        <f>IFERROR(__xludf.DUMMYFUNCTION("""COMPUTED_VALUE"""),0.0)</f>
        <v>0</v>
      </c>
      <c r="H57" s="355">
        <f>IFERROR(__xludf.DUMMYFUNCTION("""COMPUTED_VALUE"""),0.0)</f>
        <v>0</v>
      </c>
      <c r="I57" s="355">
        <f>IFERROR(__xludf.DUMMYFUNCTION("""COMPUTED_VALUE"""),0.0)</f>
        <v>0</v>
      </c>
      <c r="J57" s="355">
        <f>IFERROR(__xludf.DUMMYFUNCTION("""COMPUTED_VALUE"""),0.0)</f>
        <v>0</v>
      </c>
      <c r="K57" s="355">
        <f>IFERROR(__xludf.DUMMYFUNCTION("""COMPUTED_VALUE"""),0.0)</f>
        <v>0</v>
      </c>
      <c r="L57" s="355">
        <f>IFERROR(__xludf.DUMMYFUNCTION("""COMPUTED_VALUE"""),0.0)</f>
        <v>0</v>
      </c>
      <c r="M57" s="355">
        <f>IFERROR(__xludf.DUMMYFUNCTION("""COMPUTED_VALUE"""),0.0)</f>
        <v>0</v>
      </c>
      <c r="N57" s="355">
        <f>IFERROR(__xludf.DUMMYFUNCTION("""COMPUTED_VALUE"""),158.333333333333)</f>
        <v>158.3333333</v>
      </c>
      <c r="O57" s="355">
        <f>IFERROR(__xludf.DUMMYFUNCTION("""COMPUTED_VALUE"""),158.333333333333)</f>
        <v>158.3333333</v>
      </c>
      <c r="P57" s="355">
        <f>IFERROR(__xludf.DUMMYFUNCTION("""COMPUTED_VALUE"""),158.333333333333)</f>
        <v>158.3333333</v>
      </c>
      <c r="Q57" s="355">
        <f>IFERROR(__xludf.DUMMYFUNCTION("""COMPUTED_VALUE"""),158.333333333333)</f>
        <v>158.3333333</v>
      </c>
      <c r="R57" s="355">
        <f>IFERROR(__xludf.DUMMYFUNCTION("""COMPUTED_VALUE"""),158.333333333333)</f>
        <v>158.3333333</v>
      </c>
      <c r="S57" s="355">
        <f>IFERROR(__xludf.DUMMYFUNCTION("""COMPUTED_VALUE"""),158.333333333333)</f>
        <v>158.3333333</v>
      </c>
      <c r="T57" s="355">
        <f>IFERROR(__xludf.DUMMYFUNCTION("""COMPUTED_VALUE"""),158.333333333333)</f>
        <v>158.3333333</v>
      </c>
      <c r="U57" s="355">
        <f>IFERROR(__xludf.DUMMYFUNCTION("""COMPUTED_VALUE"""),158.333333333333)</f>
        <v>158.3333333</v>
      </c>
      <c r="V57" s="355">
        <f>IFERROR(__xludf.DUMMYFUNCTION("""COMPUTED_VALUE"""),158.333333333333)</f>
        <v>158.3333333</v>
      </c>
      <c r="W57" s="355">
        <f>IFERROR(__xludf.DUMMYFUNCTION("""COMPUTED_VALUE"""),158.333333333333)</f>
        <v>158.3333333</v>
      </c>
      <c r="X57" s="355">
        <f>IFERROR(__xludf.DUMMYFUNCTION("""COMPUTED_VALUE"""),158.333333333333)</f>
        <v>158.3333333</v>
      </c>
      <c r="Y57" s="355">
        <f>IFERROR(__xludf.DUMMYFUNCTION("""COMPUTED_VALUE"""),158.333333333333)</f>
        <v>158.3333333</v>
      </c>
      <c r="Z57" s="355"/>
      <c r="AA57" s="356"/>
      <c r="AB57" s="21"/>
      <c r="AC57" s="322"/>
      <c r="AD57" s="324"/>
      <c r="AE57" s="302"/>
      <c r="AF57" s="21"/>
      <c r="AG57" s="324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</row>
    <row r="58">
      <c r="A58" s="359">
        <f>IFERROR(__xludf.DUMMYFUNCTION("""COMPUTED_VALUE"""),411.0)</f>
        <v>411</v>
      </c>
      <c r="B58" s="350" t="str">
        <f>IFERROR(__xludf.DUMMYFUNCTION("""COMPUTED_VALUE"""),"GenoBio")</f>
        <v>GenoBio</v>
      </c>
      <c r="C58" s="351" t="str">
        <f>IFERROR(__xludf.DUMMYFUNCTION("IF(ISBLANK($B58),"""",query('Saída'!$K$3:$Q$505,""Select Q where M = '""&amp;$B58&amp;""' and K = ""&amp;$A58,0))"),"Nubank")</f>
        <v>Nubank</v>
      </c>
      <c r="D58" s="352"/>
      <c r="E58" s="353">
        <f>IFERROR(__xludf.DUMMYFUNCTION("if(isblank($B58),"""",split(rept(0&amp;""-"",month(query('Saída'!$J$3:$Q$505,""Select L where M = '""&amp;$B58&amp;""' and K = ""&amp;$A58,0))-1)&amp;rept(query('Saída'!$J$3:$Q$505,""Select P where M = '""&amp;$B58&amp;""' and K = ""&amp;$A58,0)&amp;""-"",query('Saída'!$J$3:$Q$505,""Select "&amp;"O where M = '""&amp;$B58&amp;""' and K = ""&amp;$A58,0)),""-""))"),0.0)</f>
        <v>0</v>
      </c>
      <c r="F58" s="355">
        <f>IFERROR(__xludf.DUMMYFUNCTION("""COMPUTED_VALUE"""),0.0)</f>
        <v>0</v>
      </c>
      <c r="G58" s="355">
        <f>IFERROR(__xludf.DUMMYFUNCTION("""COMPUTED_VALUE"""),0.0)</f>
        <v>0</v>
      </c>
      <c r="H58" s="355">
        <f>IFERROR(__xludf.DUMMYFUNCTION("""COMPUTED_VALUE"""),0.0)</f>
        <v>0</v>
      </c>
      <c r="I58" s="355">
        <f>IFERROR(__xludf.DUMMYFUNCTION("""COMPUTED_VALUE"""),0.0)</f>
        <v>0</v>
      </c>
      <c r="J58" s="355">
        <f>IFERROR(__xludf.DUMMYFUNCTION("""COMPUTED_VALUE"""),0.0)</f>
        <v>0</v>
      </c>
      <c r="K58" s="355">
        <f>IFERROR(__xludf.DUMMYFUNCTION("""COMPUTED_VALUE"""),0.0)</f>
        <v>0</v>
      </c>
      <c r="L58" s="355">
        <f>IFERROR(__xludf.DUMMYFUNCTION("""COMPUTED_VALUE"""),0.0)</f>
        <v>0</v>
      </c>
      <c r="M58" s="355">
        <f>IFERROR(__xludf.DUMMYFUNCTION("""COMPUTED_VALUE"""),0.0)</f>
        <v>0</v>
      </c>
      <c r="N58" s="355">
        <f>IFERROR(__xludf.DUMMYFUNCTION("""COMPUTED_VALUE"""),0.0)</f>
        <v>0</v>
      </c>
      <c r="O58" s="355">
        <f>IFERROR(__xludf.DUMMYFUNCTION("""COMPUTED_VALUE"""),50.0)</f>
        <v>50</v>
      </c>
      <c r="P58" s="355"/>
      <c r="Q58" s="355"/>
      <c r="R58" s="355"/>
      <c r="S58" s="355"/>
      <c r="T58" s="355"/>
      <c r="U58" s="355"/>
      <c r="V58" s="355"/>
      <c r="W58" s="355"/>
      <c r="X58" s="355"/>
      <c r="Y58" s="355"/>
      <c r="Z58" s="355"/>
      <c r="AA58" s="356"/>
      <c r="AB58" s="21"/>
      <c r="AC58" s="322"/>
      <c r="AD58" s="324"/>
      <c r="AE58" s="302"/>
      <c r="AF58" s="21"/>
      <c r="AG58" s="324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</row>
    <row r="59">
      <c r="A59" s="361"/>
      <c r="B59" s="350"/>
      <c r="C59" s="351" t="str">
        <f>IFERROR(__xludf.DUMMYFUNCTION("IF(ISBLANK($B59),"""",query('Saída'!$K$3:$Q$505,""Select Q where M = '""&amp;$B59&amp;""' and K = ""&amp;$A59,0))"),"")</f>
        <v/>
      </c>
      <c r="D59" s="352"/>
      <c r="E59" s="353" t="str">
        <f>IFERROR(__xludf.DUMMYFUNCTION("if(isblank($B59),"""",split(rept(0&amp;""-"",month(query('Saída'!$J$3:$Q$505,""Select L where M = '""&amp;$B59&amp;""' and K = ""&amp;$A59,0))-1)&amp;rept(query('Saída'!$J$3:$Q$505,""Select P where M = '""&amp;$B59&amp;""' and K = ""&amp;$A59,0)&amp;""-"",query('Saída'!$J$3:$Q$505,""Select "&amp;"O where M = '""&amp;$B59&amp;""' and K = ""&amp;$A59,0)),""-""))"),"  ")</f>
        <v/>
      </c>
      <c r="F59" s="355"/>
      <c r="G59" s="355"/>
      <c r="H59" s="355"/>
      <c r="I59" s="355"/>
      <c r="J59" s="355"/>
      <c r="K59" s="355"/>
      <c r="L59" s="355"/>
      <c r="M59" s="355"/>
      <c r="N59" s="355"/>
      <c r="O59" s="355"/>
      <c r="P59" s="355"/>
      <c r="Q59" s="355"/>
      <c r="R59" s="355"/>
      <c r="S59" s="355"/>
      <c r="T59" s="355"/>
      <c r="U59" s="355"/>
      <c r="V59" s="355"/>
      <c r="W59" s="355"/>
      <c r="X59" s="355"/>
      <c r="Y59" s="355"/>
      <c r="Z59" s="355"/>
      <c r="AA59" s="356"/>
      <c r="AB59" s="21"/>
      <c r="AC59" s="362"/>
      <c r="AD59" s="363"/>
      <c r="AE59" s="302"/>
      <c r="AF59" s="21"/>
      <c r="AG59" s="363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</row>
    <row r="60">
      <c r="A60" s="361"/>
      <c r="B60" s="350"/>
      <c r="C60" s="351" t="str">
        <f>IFERROR(__xludf.DUMMYFUNCTION("IF(ISBLANK($B60),"""",query('Saída'!$K$3:$Q$505,""Select Q where M = '""&amp;$B60&amp;""' and K = ""&amp;$A60,0))"),"")</f>
        <v/>
      </c>
      <c r="D60" s="352"/>
      <c r="E60" s="353" t="str">
        <f>IFERROR(__xludf.DUMMYFUNCTION("if(isblank($B60),"""",split(rept(0&amp;""-"",month(query('Saída'!$J$3:$Q$505,""Select L where M = '""&amp;$B60&amp;""' and K = ""&amp;$A60,0))-1)&amp;rept(query('Saída'!$J$3:$Q$505,""Select P where M = '""&amp;$B60&amp;""' and K = ""&amp;$A60,0)&amp;""-"",query('Saída'!$J$3:$Q$505,""Select "&amp;"O where M = '""&amp;$B60&amp;""' and K = ""&amp;$A60,0)),""-""))"),"  ")</f>
        <v/>
      </c>
      <c r="F60" s="355"/>
      <c r="G60" s="355"/>
      <c r="H60" s="355"/>
      <c r="I60" s="355"/>
      <c r="J60" s="355"/>
      <c r="K60" s="355"/>
      <c r="L60" s="355"/>
      <c r="M60" s="355"/>
      <c r="N60" s="355"/>
      <c r="O60" s="355"/>
      <c r="P60" s="355"/>
      <c r="Q60" s="355"/>
      <c r="R60" s="355"/>
      <c r="S60" s="355"/>
      <c r="T60" s="355"/>
      <c r="U60" s="355"/>
      <c r="V60" s="355"/>
      <c r="W60" s="355"/>
      <c r="X60" s="355"/>
      <c r="Y60" s="355"/>
      <c r="Z60" s="355"/>
      <c r="AA60" s="356"/>
      <c r="AB60" s="21"/>
      <c r="AC60" s="362"/>
      <c r="AD60" s="363"/>
      <c r="AE60" s="302"/>
      <c r="AF60" s="21"/>
      <c r="AG60" s="363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</row>
    <row r="61">
      <c r="A61" s="361"/>
      <c r="B61" s="350"/>
      <c r="C61" s="351" t="str">
        <f>IFERROR(__xludf.DUMMYFUNCTION("IF(ISBLANK($B61),"""",query('Saída'!$K$3:$Q$505,""Select Q where M = '""&amp;$B61&amp;""' and K = ""&amp;$A61,0))"),"")</f>
        <v/>
      </c>
      <c r="D61" s="352"/>
      <c r="E61" s="353" t="str">
        <f>IFERROR(__xludf.DUMMYFUNCTION("if(isblank($B61),"""",split(rept(0&amp;""-"",month(query('Saída'!$J$3:$Q$505,""Select L where M = '""&amp;$B61&amp;""' and K = ""&amp;$A61,0))-1)&amp;rept(query('Saída'!$J$3:$Q$505,""Select P where M = '""&amp;$B61&amp;""' and K = ""&amp;$A61,0)&amp;""-"",query('Saída'!$J$3:$Q$505,""Select "&amp;"O where M = '""&amp;$B61&amp;""' and K = ""&amp;$A61,0)),""-""))"),"  ")</f>
        <v/>
      </c>
      <c r="F61" s="355"/>
      <c r="G61" s="355"/>
      <c r="H61" s="355"/>
      <c r="I61" s="355"/>
      <c r="J61" s="355"/>
      <c r="K61" s="355"/>
      <c r="L61" s="355"/>
      <c r="M61" s="355"/>
      <c r="N61" s="355"/>
      <c r="O61" s="355"/>
      <c r="P61" s="355"/>
      <c r="Q61" s="355"/>
      <c r="R61" s="355"/>
      <c r="S61" s="355"/>
      <c r="T61" s="355"/>
      <c r="U61" s="355"/>
      <c r="V61" s="355"/>
      <c r="W61" s="355"/>
      <c r="X61" s="355"/>
      <c r="Y61" s="355"/>
      <c r="Z61" s="355"/>
      <c r="AA61" s="356"/>
      <c r="AB61" s="21"/>
      <c r="AC61" s="362"/>
      <c r="AD61" s="363"/>
      <c r="AE61" s="302"/>
      <c r="AF61" s="21"/>
      <c r="AG61" s="363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</row>
    <row r="62">
      <c r="A62" s="361"/>
      <c r="B62" s="350"/>
      <c r="C62" s="351" t="str">
        <f>IFERROR(__xludf.DUMMYFUNCTION("IF(ISBLANK($B62),"""",query('Saída'!$K$3:$Q$505,""Select Q where M = '""&amp;$B62&amp;""' and K = ""&amp;$A62,0))"),"")</f>
        <v/>
      </c>
      <c r="D62" s="352"/>
      <c r="E62" s="353" t="str">
        <f>IFERROR(__xludf.DUMMYFUNCTION("if(isblank($B62),"""",split(rept(0&amp;""-"",month(query('Saída'!$J$3:$Q$505,""Select L where M = '""&amp;$B62&amp;""' and K = ""&amp;$A62,0))-1)&amp;rept(query('Saída'!$J$3:$Q$505,""Select P where M = '""&amp;$B62&amp;""' and K = ""&amp;$A62,0)&amp;""-"",query('Saída'!$J$3:$Q$505,""Select "&amp;"O where M = '""&amp;$B62&amp;""' and K = ""&amp;$A62,0)),""-""))"),"  ")</f>
        <v/>
      </c>
      <c r="F62" s="355"/>
      <c r="G62" s="355"/>
      <c r="H62" s="355"/>
      <c r="I62" s="355"/>
      <c r="J62" s="355"/>
      <c r="K62" s="355"/>
      <c r="L62" s="355"/>
      <c r="M62" s="355"/>
      <c r="N62" s="355"/>
      <c r="O62" s="355"/>
      <c r="P62" s="355"/>
      <c r="Q62" s="355"/>
      <c r="R62" s="355"/>
      <c r="S62" s="355"/>
      <c r="T62" s="355"/>
      <c r="U62" s="355"/>
      <c r="V62" s="355"/>
      <c r="W62" s="355"/>
      <c r="X62" s="355"/>
      <c r="Y62" s="355"/>
      <c r="Z62" s="355"/>
      <c r="AA62" s="356"/>
      <c r="AB62" s="21"/>
      <c r="AC62" s="362"/>
      <c r="AD62" s="363"/>
      <c r="AE62" s="302"/>
      <c r="AF62" s="21"/>
      <c r="AG62" s="363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</row>
    <row r="63">
      <c r="A63" s="361"/>
      <c r="B63" s="350"/>
      <c r="C63" s="351" t="str">
        <f>IFERROR(__xludf.DUMMYFUNCTION("IF(ISBLANK($B63),"""",query('Saída'!$K$3:$Q$505,""Select Q where M = '""&amp;$B63&amp;""' and K = ""&amp;$A63,0))"),"")</f>
        <v/>
      </c>
      <c r="D63" s="352"/>
      <c r="E63" s="353" t="str">
        <f>IFERROR(__xludf.DUMMYFUNCTION("if(isblank($B63),"""",split(rept(0&amp;""-"",month(query('Saída'!$J$3:$Q$505,""Select L where M = '""&amp;$B63&amp;""' and K = ""&amp;$A63,0))-1)&amp;rept(query('Saída'!$J$3:$Q$505,""Select P where M = '""&amp;$B63&amp;""' and K = ""&amp;$A63,0)&amp;""-"",query('Saída'!$J$3:$Q$505,""Select "&amp;"O where M = '""&amp;$B63&amp;""' and K = ""&amp;$A63,0)),""-""))"),"  ")</f>
        <v/>
      </c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55"/>
      <c r="Z63" s="355"/>
      <c r="AA63" s="356"/>
      <c r="AB63" s="21"/>
      <c r="AC63" s="362"/>
      <c r="AD63" s="363"/>
      <c r="AE63" s="302"/>
      <c r="AF63" s="21"/>
      <c r="AG63" s="363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</row>
    <row r="64">
      <c r="A64" s="361"/>
      <c r="B64" s="350"/>
      <c r="C64" s="351" t="str">
        <f>IFERROR(__xludf.DUMMYFUNCTION("IF(ISBLANK($B64),"""",query('Saída'!$K$3:$Q$505,""Select Q where M = '""&amp;$B64&amp;""' and K = ""&amp;$A64,0))"),"")</f>
        <v/>
      </c>
      <c r="D64" s="352"/>
      <c r="E64" s="353" t="str">
        <f>IFERROR(__xludf.DUMMYFUNCTION("if(isblank($B64),"""",split(rept(0&amp;""-"",month(query('Saída'!$J$3:$Q$505,""Select L where M = '""&amp;$B64&amp;""' and K = ""&amp;$A64,0))-1)&amp;rept(query('Saída'!$J$3:$Q$505,""Select P where M = '""&amp;$B64&amp;""' and K = ""&amp;$A64,0)&amp;""-"",query('Saída'!$J$3:$Q$505,""Select "&amp;"O where M = '""&amp;$B64&amp;""' and K = ""&amp;$A64,0)),""-""))"),"  ")</f>
        <v/>
      </c>
      <c r="F64" s="355"/>
      <c r="G64" s="355"/>
      <c r="H64" s="355"/>
      <c r="I64" s="355"/>
      <c r="J64" s="355"/>
      <c r="K64" s="355"/>
      <c r="L64" s="355"/>
      <c r="M64" s="355"/>
      <c r="N64" s="355"/>
      <c r="O64" s="355"/>
      <c r="P64" s="355"/>
      <c r="Q64" s="355"/>
      <c r="R64" s="355"/>
      <c r="S64" s="355"/>
      <c r="T64" s="355"/>
      <c r="U64" s="355"/>
      <c r="V64" s="355"/>
      <c r="W64" s="355"/>
      <c r="X64" s="355"/>
      <c r="Y64" s="355"/>
      <c r="Z64" s="355"/>
      <c r="AA64" s="356"/>
      <c r="AB64" s="21"/>
      <c r="AC64" s="362"/>
      <c r="AD64" s="363"/>
      <c r="AE64" s="302"/>
      <c r="AF64" s="21"/>
      <c r="AG64" s="363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</row>
    <row r="65">
      <c r="A65" s="361"/>
      <c r="B65" s="350"/>
      <c r="C65" s="351" t="str">
        <f>IFERROR(__xludf.DUMMYFUNCTION("IF(ISBLANK($B65),"""",query('Saída'!$K$3:$Q$505,""Select Q where M = '""&amp;$B65&amp;""' and K = ""&amp;$A65,0))"),"")</f>
        <v/>
      </c>
      <c r="D65" s="352"/>
      <c r="E65" s="353" t="str">
        <f>IFERROR(__xludf.DUMMYFUNCTION("if(isblank($B65),"""",split(rept(0&amp;""-"",month(query('Saída'!$J$3:$Q$505,""Select L where M = '""&amp;$B65&amp;""' and K = ""&amp;$A65,0))-1)&amp;rept(query('Saída'!$J$3:$Q$505,""Select P where M = '""&amp;$B65&amp;""' and K = ""&amp;$A65,0)&amp;""-"",query('Saída'!$J$3:$Q$505,""Select "&amp;"O where M = '""&amp;$B65&amp;""' and K = ""&amp;$A65,0)),""-""))"),"  ")</f>
        <v/>
      </c>
      <c r="F65" s="355"/>
      <c r="G65" s="355"/>
      <c r="H65" s="355"/>
      <c r="I65" s="355"/>
      <c r="J65" s="355"/>
      <c r="K65" s="355"/>
      <c r="L65" s="355"/>
      <c r="M65" s="355"/>
      <c r="N65" s="355"/>
      <c r="O65" s="355"/>
      <c r="P65" s="355"/>
      <c r="Q65" s="355"/>
      <c r="R65" s="355"/>
      <c r="S65" s="355"/>
      <c r="T65" s="355"/>
      <c r="U65" s="355"/>
      <c r="V65" s="355"/>
      <c r="W65" s="355"/>
      <c r="X65" s="355"/>
      <c r="Y65" s="355"/>
      <c r="Z65" s="355"/>
      <c r="AA65" s="356"/>
      <c r="AB65" s="21"/>
      <c r="AC65" s="362"/>
      <c r="AD65" s="363"/>
      <c r="AE65" s="302"/>
      <c r="AF65" s="21"/>
      <c r="AG65" s="363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</row>
    <row r="66">
      <c r="A66" s="361"/>
      <c r="B66" s="350"/>
      <c r="C66" s="351" t="str">
        <f>IFERROR(__xludf.DUMMYFUNCTION("IF(ISBLANK($B66),"""",query('Saída'!$K$3:$Q$505,""Select Q where M = '""&amp;$B66&amp;""' and K = ""&amp;$A66,0))"),"")</f>
        <v/>
      </c>
      <c r="D66" s="352"/>
      <c r="E66" s="353" t="str">
        <f>IFERROR(__xludf.DUMMYFUNCTION("if(isblank($B66),"""",split(rept(0&amp;""-"",month(query('Saída'!$J$3:$Q$505,""Select L where M = '""&amp;$B66&amp;""' and K = ""&amp;$A66,0))-1)&amp;rept(query('Saída'!$J$3:$Q$505,""Select P where M = '""&amp;$B66&amp;""' and K = ""&amp;$A66,0)&amp;""-"",query('Saída'!$J$3:$Q$505,""Select "&amp;"O where M = '""&amp;$B66&amp;""' and K = ""&amp;$A66,0)),""-""))"),"  ")</f>
        <v/>
      </c>
      <c r="F66" s="355"/>
      <c r="G66" s="355"/>
      <c r="H66" s="355"/>
      <c r="I66" s="355"/>
      <c r="J66" s="355"/>
      <c r="K66" s="355"/>
      <c r="L66" s="355"/>
      <c r="M66" s="355"/>
      <c r="N66" s="355"/>
      <c r="O66" s="355"/>
      <c r="P66" s="355"/>
      <c r="Q66" s="355"/>
      <c r="R66" s="355"/>
      <c r="S66" s="355"/>
      <c r="T66" s="355"/>
      <c r="U66" s="355"/>
      <c r="V66" s="355"/>
      <c r="W66" s="355"/>
      <c r="X66" s="355"/>
      <c r="Y66" s="355"/>
      <c r="Z66" s="355"/>
      <c r="AA66" s="356"/>
      <c r="AB66" s="21"/>
      <c r="AC66" s="362"/>
      <c r="AD66" s="363"/>
      <c r="AE66" s="302"/>
      <c r="AF66" s="21"/>
      <c r="AG66" s="363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</row>
    <row r="67">
      <c r="A67" s="361"/>
      <c r="B67" s="350"/>
      <c r="C67" s="351" t="str">
        <f>IFERROR(__xludf.DUMMYFUNCTION("IF(ISBLANK($B67),"""",query('Saída'!$K$3:$Q$505,""Select Q where M = '""&amp;$B67&amp;""' and K = ""&amp;$A67,0))"),"")</f>
        <v/>
      </c>
      <c r="D67" s="352"/>
      <c r="E67" s="353" t="str">
        <f>IFERROR(__xludf.DUMMYFUNCTION("if(isblank($B67),"""",split(rept(0&amp;""-"",month(query('Saída'!$J$3:$Q$505,""Select L where M = '""&amp;$B67&amp;""' and K = ""&amp;$A67,0))-1)&amp;rept(query('Saída'!$J$3:$Q$505,""Select P where M = '""&amp;$B67&amp;""' and K = ""&amp;$A67,0)&amp;""-"",query('Saída'!$J$3:$Q$505,""Select "&amp;"O where M = '""&amp;$B67&amp;""' and K = ""&amp;$A67,0)),""-""))"),"  ")</f>
        <v/>
      </c>
      <c r="F67" s="355"/>
      <c r="G67" s="355"/>
      <c r="H67" s="355"/>
      <c r="I67" s="355"/>
      <c r="J67" s="355"/>
      <c r="K67" s="355"/>
      <c r="L67" s="355"/>
      <c r="M67" s="355"/>
      <c r="N67" s="355"/>
      <c r="O67" s="355"/>
      <c r="P67" s="355"/>
      <c r="Q67" s="355"/>
      <c r="R67" s="355"/>
      <c r="S67" s="355"/>
      <c r="T67" s="355"/>
      <c r="U67" s="355"/>
      <c r="V67" s="355"/>
      <c r="W67" s="355"/>
      <c r="X67" s="355"/>
      <c r="Y67" s="355"/>
      <c r="Z67" s="355"/>
      <c r="AA67" s="356"/>
      <c r="AB67" s="21"/>
      <c r="AC67" s="362"/>
      <c r="AD67" s="363"/>
      <c r="AE67" s="302"/>
      <c r="AF67" s="21"/>
      <c r="AG67" s="363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</row>
    <row r="68">
      <c r="A68" s="361"/>
      <c r="B68" s="350"/>
      <c r="C68" s="351" t="str">
        <f>IFERROR(__xludf.DUMMYFUNCTION("IF(ISBLANK($B68),"""",query('Saída'!$K$3:$Q$505,""Select Q where M = '""&amp;$B68&amp;""' and K = ""&amp;$A68,0))"),"")</f>
        <v/>
      </c>
      <c r="D68" s="352"/>
      <c r="E68" s="353" t="str">
        <f>IFERROR(__xludf.DUMMYFUNCTION("if(isblank($B68),"""",split(rept(0&amp;""-"",month(query('Saída'!$J$3:$Q$505,""Select L where M = '""&amp;$B68&amp;""' and K = ""&amp;$A68,0))-1)&amp;rept(query('Saída'!$J$3:$Q$505,""Select P where M = '""&amp;$B68&amp;""' and K = ""&amp;$A68,0)&amp;""-"",query('Saída'!$J$3:$Q$505,""Select "&amp;"O where M = '""&amp;$B68&amp;""' and K = ""&amp;$A68,0)),""-""))"),"  ")</f>
        <v/>
      </c>
      <c r="F68" s="355"/>
      <c r="G68" s="355"/>
      <c r="H68" s="355"/>
      <c r="I68" s="355"/>
      <c r="J68" s="355"/>
      <c r="K68" s="355"/>
      <c r="L68" s="355"/>
      <c r="M68" s="355"/>
      <c r="N68" s="355"/>
      <c r="O68" s="355"/>
      <c r="P68" s="355"/>
      <c r="Q68" s="355"/>
      <c r="R68" s="355"/>
      <c r="S68" s="355"/>
      <c r="T68" s="355"/>
      <c r="U68" s="355"/>
      <c r="V68" s="355"/>
      <c r="W68" s="355"/>
      <c r="X68" s="355"/>
      <c r="Y68" s="355"/>
      <c r="Z68" s="355"/>
      <c r="AA68" s="356"/>
      <c r="AB68" s="21"/>
      <c r="AC68" s="362"/>
      <c r="AD68" s="363"/>
      <c r="AE68" s="302"/>
      <c r="AF68" s="21"/>
      <c r="AG68" s="363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</row>
    <row r="69">
      <c r="A69" s="361"/>
      <c r="B69" s="350"/>
      <c r="C69" s="351" t="str">
        <f>IFERROR(__xludf.DUMMYFUNCTION("IF(ISBLANK($B69),"""",query('Saída'!$K$3:$Q$505,""Select Q where M = '""&amp;$B69&amp;""' and K = ""&amp;$A69,0))"),"")</f>
        <v/>
      </c>
      <c r="D69" s="352"/>
      <c r="E69" s="353" t="str">
        <f>IFERROR(__xludf.DUMMYFUNCTION("if(isblank($B69),"""",split(rept(0&amp;""-"",month(query('Saída'!$J$3:$Q$505,""Select L where M = '""&amp;$B69&amp;""' and K = ""&amp;$A69,0))-1)&amp;rept(query('Saída'!$J$3:$Q$505,""Select P where M = '""&amp;$B69&amp;""' and K = ""&amp;$A69,0)&amp;""-"",query('Saída'!$J$3:$Q$505,""Select "&amp;"O where M = '""&amp;$B69&amp;""' and K = ""&amp;$A69,0)),""-""))"),"  ")</f>
        <v/>
      </c>
      <c r="F69" s="355"/>
      <c r="G69" s="355"/>
      <c r="H69" s="355"/>
      <c r="I69" s="355"/>
      <c r="J69" s="355"/>
      <c r="K69" s="355"/>
      <c r="L69" s="355"/>
      <c r="M69" s="355"/>
      <c r="N69" s="355"/>
      <c r="O69" s="355"/>
      <c r="P69" s="355"/>
      <c r="Q69" s="355"/>
      <c r="R69" s="355"/>
      <c r="S69" s="355"/>
      <c r="T69" s="355"/>
      <c r="U69" s="355"/>
      <c r="V69" s="355"/>
      <c r="W69" s="355"/>
      <c r="X69" s="355"/>
      <c r="Y69" s="355"/>
      <c r="Z69" s="355"/>
      <c r="AA69" s="356"/>
      <c r="AB69" s="21"/>
      <c r="AC69" s="362"/>
      <c r="AD69" s="363"/>
      <c r="AE69" s="302"/>
      <c r="AF69" s="21"/>
      <c r="AG69" s="363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</row>
    <row r="70">
      <c r="A70" s="361"/>
      <c r="B70" s="350"/>
      <c r="C70" s="351" t="str">
        <f>IFERROR(__xludf.DUMMYFUNCTION("IF(ISBLANK($B70),"""",query('Saída'!$K$3:$Q$505,""Select Q where M = '""&amp;$B70&amp;""' and K = ""&amp;$A70,0))"),"")</f>
        <v/>
      </c>
      <c r="D70" s="352"/>
      <c r="E70" s="353" t="str">
        <f>IFERROR(__xludf.DUMMYFUNCTION("if(isblank($B70),"""",split(rept(0&amp;""-"",month(query('Saída'!$J$3:$Q$505,""Select L where M = '""&amp;$B70&amp;""' and K = ""&amp;$A70,0))-1)&amp;rept(query('Saída'!$J$3:$Q$505,""Select P where M = '""&amp;$B70&amp;""' and K = ""&amp;$A70,0)&amp;""-"",query('Saída'!$J$3:$Q$505,""Select "&amp;"O where M = '""&amp;$B70&amp;""' and K = ""&amp;$A70,0)),""-""))"),"  ")</f>
        <v/>
      </c>
      <c r="F70" s="355"/>
      <c r="G70" s="355"/>
      <c r="H70" s="355"/>
      <c r="I70" s="355"/>
      <c r="J70" s="355"/>
      <c r="K70" s="355"/>
      <c r="L70" s="355"/>
      <c r="M70" s="355"/>
      <c r="N70" s="355"/>
      <c r="O70" s="355"/>
      <c r="P70" s="355"/>
      <c r="Q70" s="355"/>
      <c r="R70" s="355"/>
      <c r="S70" s="355"/>
      <c r="T70" s="355"/>
      <c r="U70" s="355"/>
      <c r="V70" s="355"/>
      <c r="W70" s="355"/>
      <c r="X70" s="355"/>
      <c r="Y70" s="355"/>
      <c r="Z70" s="355"/>
      <c r="AA70" s="356"/>
      <c r="AB70" s="21"/>
      <c r="AC70" s="362"/>
      <c r="AD70" s="363"/>
      <c r="AE70" s="302"/>
      <c r="AF70" s="21"/>
      <c r="AG70" s="363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</row>
    <row r="71">
      <c r="A71" s="361"/>
      <c r="B71" s="350"/>
      <c r="C71" s="351" t="str">
        <f>IFERROR(__xludf.DUMMYFUNCTION("IF(ISBLANK($B71),"""",query('Saída'!$K$3:$Q$505,""Select Q where M = '""&amp;$B71&amp;""' and K = ""&amp;$A71,0))"),"")</f>
        <v/>
      </c>
      <c r="D71" s="352"/>
      <c r="E71" s="353" t="str">
        <f>IFERROR(__xludf.DUMMYFUNCTION("if(isblank($B71),"""",split(rept(0&amp;""-"",month(query('Saída'!$J$3:$Q$505,""Select L where M = '""&amp;$B71&amp;""' and K = ""&amp;$A71,0))-1)&amp;rept(query('Saída'!$J$3:$Q$505,""Select P where M = '""&amp;$B71&amp;""' and K = ""&amp;$A71,0)&amp;""-"",query('Saída'!$J$3:$Q$505,""Select "&amp;"O where M = '""&amp;$B71&amp;""' and K = ""&amp;$A71,0)),""-""))"),"  ")</f>
        <v/>
      </c>
      <c r="F71" s="355"/>
      <c r="G71" s="355"/>
      <c r="H71" s="355"/>
      <c r="I71" s="355"/>
      <c r="J71" s="355"/>
      <c r="K71" s="355"/>
      <c r="L71" s="355"/>
      <c r="M71" s="355"/>
      <c r="N71" s="355"/>
      <c r="O71" s="355"/>
      <c r="P71" s="355"/>
      <c r="Q71" s="355"/>
      <c r="R71" s="355"/>
      <c r="S71" s="355"/>
      <c r="T71" s="355"/>
      <c r="U71" s="355"/>
      <c r="V71" s="355"/>
      <c r="W71" s="355"/>
      <c r="X71" s="355"/>
      <c r="Y71" s="355"/>
      <c r="Z71" s="355"/>
      <c r="AA71" s="356"/>
      <c r="AB71" s="21"/>
      <c r="AC71" s="362"/>
      <c r="AD71" s="363"/>
      <c r="AE71" s="302"/>
      <c r="AF71" s="21"/>
      <c r="AG71" s="363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</row>
    <row r="72">
      <c r="A72" s="361"/>
      <c r="B72" s="350"/>
      <c r="C72" s="351" t="str">
        <f>IFERROR(__xludf.DUMMYFUNCTION("IF(ISBLANK($B72),"""",query('Saída'!$K$3:$Q$505,""Select Q where M = '""&amp;$B72&amp;""' and K = ""&amp;$A72,0))"),"")</f>
        <v/>
      </c>
      <c r="D72" s="352"/>
      <c r="E72" s="353" t="str">
        <f>IFERROR(__xludf.DUMMYFUNCTION("if(isblank($B72),"""",split(rept(0&amp;""-"",month(query('Saída'!$J$3:$Q$505,""Select L where M = '""&amp;$B72&amp;""' and K = ""&amp;$A72,0))-1)&amp;rept(query('Saída'!$J$3:$Q$505,""Select P where M = '""&amp;$B72&amp;""' and K = ""&amp;$A72,0)&amp;""-"",query('Saída'!$J$3:$Q$505,""Select "&amp;"O where M = '""&amp;$B72&amp;""' and K = ""&amp;$A72,0)),""-""))"),"  ")</f>
        <v/>
      </c>
      <c r="F72" s="355"/>
      <c r="G72" s="355"/>
      <c r="H72" s="355"/>
      <c r="I72" s="355"/>
      <c r="J72" s="355"/>
      <c r="K72" s="355"/>
      <c r="L72" s="355"/>
      <c r="M72" s="355"/>
      <c r="N72" s="355"/>
      <c r="O72" s="355"/>
      <c r="P72" s="355"/>
      <c r="Q72" s="355"/>
      <c r="R72" s="355"/>
      <c r="S72" s="355"/>
      <c r="T72" s="355"/>
      <c r="U72" s="355"/>
      <c r="V72" s="355"/>
      <c r="W72" s="355"/>
      <c r="X72" s="355"/>
      <c r="Y72" s="355"/>
      <c r="Z72" s="355"/>
      <c r="AA72" s="356"/>
      <c r="AB72" s="21"/>
      <c r="AC72" s="362"/>
      <c r="AD72" s="363"/>
      <c r="AE72" s="302"/>
      <c r="AF72" s="21"/>
      <c r="AG72" s="363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</row>
    <row r="73">
      <c r="A73" s="361"/>
      <c r="B73" s="350"/>
      <c r="C73" s="351" t="str">
        <f>IFERROR(__xludf.DUMMYFUNCTION("IF(ISBLANK($B73),"""",query('Saída'!$K$3:$Q$505,""Select Q where M = '""&amp;$B73&amp;""' and K = ""&amp;$A73,0))"),"")</f>
        <v/>
      </c>
      <c r="D73" s="352"/>
      <c r="E73" s="353" t="str">
        <f>IFERROR(__xludf.DUMMYFUNCTION("if(isblank($B73),"""",split(rept(0&amp;""-"",month(query('Saída'!$J$3:$Q$505,""Select L where M = '""&amp;$B73&amp;""' and K = ""&amp;$A73,0))-1)&amp;rept(query('Saída'!$J$3:$Q$505,""Select P where M = '""&amp;$B73&amp;""' and K = ""&amp;$A73,0)&amp;""-"",query('Saída'!$J$3:$Q$505,""Select "&amp;"O where M = '""&amp;$B73&amp;""' and K = ""&amp;$A73,0)),""-""))"),"  ")</f>
        <v/>
      </c>
      <c r="F73" s="355"/>
      <c r="G73" s="355"/>
      <c r="H73" s="355"/>
      <c r="I73" s="355"/>
      <c r="J73" s="355"/>
      <c r="K73" s="355"/>
      <c r="L73" s="355"/>
      <c r="M73" s="355"/>
      <c r="N73" s="355"/>
      <c r="O73" s="355"/>
      <c r="P73" s="355"/>
      <c r="Q73" s="355"/>
      <c r="R73" s="355"/>
      <c r="S73" s="355"/>
      <c r="T73" s="355"/>
      <c r="U73" s="355"/>
      <c r="V73" s="355"/>
      <c r="W73" s="355"/>
      <c r="X73" s="355"/>
      <c r="Y73" s="355"/>
      <c r="Z73" s="355"/>
      <c r="AA73" s="356"/>
      <c r="AB73" s="21"/>
      <c r="AC73" s="362"/>
      <c r="AD73" s="363"/>
      <c r="AE73" s="302"/>
      <c r="AF73" s="21"/>
      <c r="AG73" s="363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</row>
    <row r="74">
      <c r="A74" s="361"/>
      <c r="B74" s="350"/>
      <c r="C74" s="351" t="str">
        <f>IFERROR(__xludf.DUMMYFUNCTION("IF(ISBLANK($B74),"""",query('Saída'!$K$3:$Q$505,""Select Q where M = '""&amp;$B74&amp;""' and K = ""&amp;$A74,0))"),"")</f>
        <v/>
      </c>
      <c r="D74" s="352"/>
      <c r="E74" s="353" t="str">
        <f>IFERROR(__xludf.DUMMYFUNCTION("if(isblank($B74),"""",split(rept(0&amp;""-"",month(query('Saída'!$J$3:$Q$505,""Select L where M = '""&amp;$B74&amp;""' and K = ""&amp;$A74,0))-1)&amp;rept(query('Saída'!$J$3:$Q$505,""Select P where M = '""&amp;$B74&amp;""' and K = ""&amp;$A74,0)&amp;""-"",query('Saída'!$J$3:$Q$505,""Select "&amp;"O where M = '""&amp;$B74&amp;""' and K = ""&amp;$A74,0)),""-""))"),"  ")</f>
        <v/>
      </c>
      <c r="F74" s="355"/>
      <c r="G74" s="355"/>
      <c r="H74" s="355"/>
      <c r="I74" s="355"/>
      <c r="J74" s="355"/>
      <c r="K74" s="355"/>
      <c r="L74" s="355"/>
      <c r="M74" s="355"/>
      <c r="N74" s="355"/>
      <c r="O74" s="355"/>
      <c r="P74" s="355"/>
      <c r="Q74" s="355"/>
      <c r="R74" s="355"/>
      <c r="S74" s="355"/>
      <c r="T74" s="355"/>
      <c r="U74" s="355"/>
      <c r="V74" s="355"/>
      <c r="W74" s="355"/>
      <c r="X74" s="355"/>
      <c r="Y74" s="355"/>
      <c r="Z74" s="355"/>
      <c r="AA74" s="356"/>
      <c r="AB74" s="21"/>
      <c r="AC74" s="362"/>
      <c r="AD74" s="363"/>
      <c r="AE74" s="302"/>
      <c r="AF74" s="21"/>
      <c r="AG74" s="363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</row>
    <row r="75">
      <c r="A75" s="361"/>
      <c r="B75" s="350"/>
      <c r="C75" s="351" t="str">
        <f>IFERROR(__xludf.DUMMYFUNCTION("IF(ISBLANK($B75),"""",query('Saída'!$K$3:$Q$505,""Select Q where M = '""&amp;$B75&amp;""' and K = ""&amp;$A75,0))"),"")</f>
        <v/>
      </c>
      <c r="D75" s="352"/>
      <c r="E75" s="353" t="str">
        <f>IFERROR(__xludf.DUMMYFUNCTION("if(isblank($B75),"""",split(rept(0&amp;""-"",month(query('Saída'!$J$3:$Q$505,""Select L where M = '""&amp;$B75&amp;""' and K = ""&amp;$A75,0))-1)&amp;rept(query('Saída'!$J$3:$Q$505,""Select P where M = '""&amp;$B75&amp;""' and K = ""&amp;$A75,0)&amp;""-"",query('Saída'!$J$3:$Q$505,""Select "&amp;"O where M = '""&amp;$B75&amp;""' and K = ""&amp;$A75,0)),""-""))"),"  ")</f>
        <v/>
      </c>
      <c r="F75" s="355"/>
      <c r="G75" s="355"/>
      <c r="H75" s="355"/>
      <c r="I75" s="355"/>
      <c r="J75" s="355"/>
      <c r="K75" s="355"/>
      <c r="L75" s="355"/>
      <c r="M75" s="355"/>
      <c r="N75" s="355"/>
      <c r="O75" s="355"/>
      <c r="P75" s="355"/>
      <c r="Q75" s="355"/>
      <c r="R75" s="355"/>
      <c r="S75" s="355"/>
      <c r="T75" s="355"/>
      <c r="U75" s="355"/>
      <c r="V75" s="355"/>
      <c r="W75" s="355"/>
      <c r="X75" s="355"/>
      <c r="Y75" s="355"/>
      <c r="Z75" s="355"/>
      <c r="AA75" s="356"/>
      <c r="AB75" s="21"/>
      <c r="AC75" s="362"/>
      <c r="AD75" s="363"/>
      <c r="AE75" s="302"/>
      <c r="AF75" s="21"/>
      <c r="AG75" s="363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</row>
    <row r="76">
      <c r="A76" s="361"/>
      <c r="B76" s="350"/>
      <c r="C76" s="351" t="str">
        <f>IFERROR(__xludf.DUMMYFUNCTION("IF(ISBLANK($B76),"""",query('Saída'!$K$3:$Q$505,""Select Q where M = '""&amp;$B76&amp;""' and K = ""&amp;$A76,0))"),"")</f>
        <v/>
      </c>
      <c r="D76" s="352"/>
      <c r="E76" s="353" t="str">
        <f>IFERROR(__xludf.DUMMYFUNCTION("if(isblank($B76),"""",split(rept(0&amp;""-"",month(query('Saída'!$J$3:$Q$505,""Select L where M = '""&amp;$B76&amp;""' and K = ""&amp;$A76,0))-1)&amp;rept(query('Saída'!$J$3:$Q$505,""Select P where M = '""&amp;$B76&amp;""' and K = ""&amp;$A76,0)&amp;""-"",query('Saída'!$J$3:$Q$505,""Select "&amp;"O where M = '""&amp;$B76&amp;""' and K = ""&amp;$A76,0)),""-""))"),"  ")</f>
        <v/>
      </c>
      <c r="F76" s="355"/>
      <c r="G76" s="355"/>
      <c r="H76" s="355"/>
      <c r="I76" s="355"/>
      <c r="J76" s="355"/>
      <c r="K76" s="355"/>
      <c r="L76" s="355"/>
      <c r="M76" s="355"/>
      <c r="N76" s="355"/>
      <c r="O76" s="355"/>
      <c r="P76" s="355"/>
      <c r="Q76" s="355"/>
      <c r="R76" s="355"/>
      <c r="S76" s="355"/>
      <c r="T76" s="355"/>
      <c r="U76" s="355"/>
      <c r="V76" s="355"/>
      <c r="W76" s="355"/>
      <c r="X76" s="355"/>
      <c r="Y76" s="355"/>
      <c r="Z76" s="355"/>
      <c r="AA76" s="356"/>
      <c r="AB76" s="21"/>
      <c r="AC76" s="362"/>
      <c r="AD76" s="363"/>
      <c r="AE76" s="302"/>
      <c r="AF76" s="21"/>
      <c r="AG76" s="363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</row>
    <row r="77">
      <c r="A77" s="361"/>
      <c r="B77" s="350"/>
      <c r="C77" s="351" t="str">
        <f>IFERROR(__xludf.DUMMYFUNCTION("IF(ISBLANK($B77),"""",query('Saída'!$K$3:$Q$505,""Select Q where M = '""&amp;$B77&amp;""' and K = ""&amp;$A77,0))"),"")</f>
        <v/>
      </c>
      <c r="D77" s="352"/>
      <c r="E77" s="353" t="str">
        <f>IFERROR(__xludf.DUMMYFUNCTION("if(isblank($B77),"""",split(rept(0&amp;""-"",month(query('Saída'!$J$3:$Q$505,""Select L where M = '""&amp;$B77&amp;""' and K = ""&amp;$A77,0))-1)&amp;rept(query('Saída'!$J$3:$Q$505,""Select P where M = '""&amp;$B77&amp;""' and K = ""&amp;$A77,0)&amp;""-"",query('Saída'!$J$3:$Q$505,""Select "&amp;"O where M = '""&amp;$B77&amp;""' and K = ""&amp;$A77,0)),""-""))"),"  ")</f>
        <v/>
      </c>
      <c r="F77" s="355"/>
      <c r="G77" s="355"/>
      <c r="H77" s="355"/>
      <c r="I77" s="355"/>
      <c r="J77" s="355"/>
      <c r="K77" s="355"/>
      <c r="L77" s="355"/>
      <c r="M77" s="355"/>
      <c r="N77" s="355"/>
      <c r="O77" s="355"/>
      <c r="P77" s="355"/>
      <c r="Q77" s="355"/>
      <c r="R77" s="355"/>
      <c r="S77" s="355"/>
      <c r="T77" s="355"/>
      <c r="U77" s="355"/>
      <c r="V77" s="355"/>
      <c r="W77" s="355"/>
      <c r="X77" s="355"/>
      <c r="Y77" s="355"/>
      <c r="Z77" s="355"/>
      <c r="AA77" s="356"/>
      <c r="AB77" s="21"/>
      <c r="AC77" s="362"/>
      <c r="AD77" s="363"/>
      <c r="AE77" s="302"/>
      <c r="AF77" s="21"/>
      <c r="AG77" s="363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</row>
    <row r="78">
      <c r="A78" s="361"/>
      <c r="B78" s="350"/>
      <c r="C78" s="351" t="str">
        <f>IFERROR(__xludf.DUMMYFUNCTION("IF(ISBLANK($B78),"""",query('Saída'!$K$3:$Q$505,""Select Q where M = '""&amp;$B78&amp;""' and K = ""&amp;$A78,0))"),"")</f>
        <v/>
      </c>
      <c r="D78" s="352"/>
      <c r="E78" s="353" t="str">
        <f>IFERROR(__xludf.DUMMYFUNCTION("if(isblank($B78),"""",split(rept(0&amp;""-"",month(query('Saída'!$J$3:$Q$505,""Select L where M = '""&amp;$B78&amp;""' and K = ""&amp;$A78,0))-1)&amp;rept(query('Saída'!$J$3:$Q$505,""Select P where M = '""&amp;$B78&amp;""' and K = ""&amp;$A78,0)&amp;""-"",query('Saída'!$J$3:$Q$505,""Select "&amp;"O where M = '""&amp;$B78&amp;""' and K = ""&amp;$A78,0)),""-""))"),"  ")</f>
        <v/>
      </c>
      <c r="F78" s="355"/>
      <c r="G78" s="355"/>
      <c r="H78" s="355"/>
      <c r="I78" s="355"/>
      <c r="J78" s="355"/>
      <c r="K78" s="355"/>
      <c r="L78" s="355"/>
      <c r="M78" s="355"/>
      <c r="N78" s="355"/>
      <c r="O78" s="355"/>
      <c r="P78" s="355"/>
      <c r="Q78" s="355"/>
      <c r="R78" s="355"/>
      <c r="S78" s="355"/>
      <c r="T78" s="355"/>
      <c r="U78" s="355"/>
      <c r="V78" s="355"/>
      <c r="W78" s="355"/>
      <c r="X78" s="355"/>
      <c r="Y78" s="355"/>
      <c r="Z78" s="355"/>
      <c r="AA78" s="356"/>
      <c r="AB78" s="21"/>
      <c r="AC78" s="362"/>
      <c r="AD78" s="363"/>
      <c r="AE78" s="302"/>
      <c r="AF78" s="21"/>
      <c r="AG78" s="363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</row>
    <row r="79">
      <c r="A79" s="361"/>
      <c r="B79" s="350"/>
      <c r="C79" s="351" t="str">
        <f>IFERROR(__xludf.DUMMYFUNCTION("IF(ISBLANK($B79),"""",query('Saída'!$K$3:$Q$505,""Select Q where M = '""&amp;$B79&amp;""' and K = ""&amp;$A79,0))"),"")</f>
        <v/>
      </c>
      <c r="D79" s="352"/>
      <c r="E79" s="353" t="str">
        <f>IFERROR(__xludf.DUMMYFUNCTION("if(isblank($B79),"""",split(rept(0&amp;""-"",month(query('Saída'!$J$3:$Q$505,""Select L where M = '""&amp;$B79&amp;""' and K = ""&amp;$A79,0))-1)&amp;rept(query('Saída'!$J$3:$Q$505,""Select P where M = '""&amp;$B79&amp;""' and K = ""&amp;$A79,0)&amp;""-"",query('Saída'!$J$3:$Q$505,""Select "&amp;"O where M = '""&amp;$B79&amp;""' and K = ""&amp;$A79,0)),""-""))"),"  ")</f>
        <v/>
      </c>
      <c r="F79" s="355"/>
      <c r="G79" s="355"/>
      <c r="H79" s="355"/>
      <c r="I79" s="355"/>
      <c r="J79" s="355"/>
      <c r="K79" s="355"/>
      <c r="L79" s="355"/>
      <c r="M79" s="355"/>
      <c r="N79" s="355"/>
      <c r="O79" s="355"/>
      <c r="P79" s="355"/>
      <c r="Q79" s="355"/>
      <c r="R79" s="355"/>
      <c r="S79" s="355"/>
      <c r="T79" s="355"/>
      <c r="U79" s="355"/>
      <c r="V79" s="355"/>
      <c r="W79" s="355"/>
      <c r="X79" s="355"/>
      <c r="Y79" s="355"/>
      <c r="Z79" s="355"/>
      <c r="AA79" s="356"/>
      <c r="AB79" s="21"/>
      <c r="AC79" s="362"/>
      <c r="AD79" s="363"/>
      <c r="AE79" s="302"/>
      <c r="AF79" s="21"/>
      <c r="AG79" s="363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</row>
    <row r="80">
      <c r="A80" s="361"/>
      <c r="B80" s="350"/>
      <c r="C80" s="351" t="str">
        <f>IFERROR(__xludf.DUMMYFUNCTION("IF(ISBLANK($B80),"""",query('Saída'!$K$3:$Q$505,""Select Q where M = '""&amp;$B80&amp;""' and K = ""&amp;$A80,0))"),"")</f>
        <v/>
      </c>
      <c r="D80" s="352"/>
      <c r="E80" s="353" t="str">
        <f>IFERROR(__xludf.DUMMYFUNCTION("if(isblank($B80),"""",split(rept(0&amp;""-"",month(query('Saída'!$J$3:$Q$505,""Select L where M = '""&amp;$B80&amp;""' and K = ""&amp;$A80,0))-1)&amp;rept(query('Saída'!$J$3:$Q$505,""Select P where M = '""&amp;$B80&amp;""' and K = ""&amp;$A80,0)&amp;""-"",query('Saída'!$J$3:$Q$505,""Select "&amp;"O where M = '""&amp;$B80&amp;""' and K = ""&amp;$A80,0)),""-""))"),"  ")</f>
        <v/>
      </c>
      <c r="F80" s="355"/>
      <c r="G80" s="355"/>
      <c r="H80" s="355"/>
      <c r="I80" s="355"/>
      <c r="J80" s="355"/>
      <c r="K80" s="355"/>
      <c r="L80" s="355"/>
      <c r="M80" s="355"/>
      <c r="N80" s="355"/>
      <c r="O80" s="355"/>
      <c r="P80" s="355"/>
      <c r="Q80" s="355"/>
      <c r="R80" s="355"/>
      <c r="S80" s="355"/>
      <c r="T80" s="355"/>
      <c r="U80" s="355"/>
      <c r="V80" s="355"/>
      <c r="W80" s="355"/>
      <c r="X80" s="355"/>
      <c r="Y80" s="355"/>
      <c r="Z80" s="355"/>
      <c r="AA80" s="356"/>
      <c r="AB80" s="21"/>
      <c r="AC80" s="362"/>
      <c r="AD80" s="363"/>
      <c r="AE80" s="302"/>
      <c r="AF80" s="21"/>
      <c r="AG80" s="363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</row>
    <row r="81">
      <c r="A81" s="361"/>
      <c r="B81" s="350"/>
      <c r="C81" s="351" t="str">
        <f>IFERROR(__xludf.DUMMYFUNCTION("IF(ISBLANK($B81),"""",query('Saída'!$K$3:$Q$505,""Select Q where M = '""&amp;$B81&amp;""' and K = ""&amp;$A81,0))"),"")</f>
        <v/>
      </c>
      <c r="D81" s="352"/>
      <c r="E81" s="353" t="str">
        <f>IFERROR(__xludf.DUMMYFUNCTION("if(isblank($B81),"""",split(rept(0&amp;""-"",month(query('Saída'!$J$3:$Q$505,""Select L where M = '""&amp;$B81&amp;""' and K = ""&amp;$A81,0))-1)&amp;rept(query('Saída'!$J$3:$Q$505,""Select P where M = '""&amp;$B81&amp;""' and K = ""&amp;$A81,0)&amp;""-"",query('Saída'!$J$3:$Q$505,""Select "&amp;"O where M = '""&amp;$B81&amp;""' and K = ""&amp;$A81,0)),""-""))"),"  ")</f>
        <v/>
      </c>
      <c r="F81" s="355"/>
      <c r="G81" s="355"/>
      <c r="H81" s="355"/>
      <c r="I81" s="355"/>
      <c r="J81" s="355"/>
      <c r="K81" s="355"/>
      <c r="L81" s="355"/>
      <c r="M81" s="355"/>
      <c r="N81" s="355"/>
      <c r="O81" s="355"/>
      <c r="P81" s="355"/>
      <c r="Q81" s="355"/>
      <c r="R81" s="355"/>
      <c r="S81" s="355"/>
      <c r="T81" s="355"/>
      <c r="U81" s="355"/>
      <c r="V81" s="355"/>
      <c r="W81" s="355"/>
      <c r="X81" s="355"/>
      <c r="Y81" s="355"/>
      <c r="Z81" s="355"/>
      <c r="AA81" s="356"/>
      <c r="AB81" s="21"/>
      <c r="AC81" s="362"/>
      <c r="AD81" s="363"/>
      <c r="AE81" s="302"/>
      <c r="AF81" s="21"/>
      <c r="AG81" s="363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</row>
    <row r="82">
      <c r="A82" s="361"/>
      <c r="B82" s="350"/>
      <c r="C82" s="351" t="str">
        <f>IFERROR(__xludf.DUMMYFUNCTION("IF(ISBLANK($B82),"""",query('Saída'!$K$3:$Q$505,""Select Q where M = '""&amp;$B82&amp;""' and K = ""&amp;$A82,0))"),"")</f>
        <v/>
      </c>
      <c r="D82" s="352"/>
      <c r="E82" s="353" t="str">
        <f>IFERROR(__xludf.DUMMYFUNCTION("if(isblank($B82),"""",split(rept(0&amp;""-"",month(query('Saída'!$J$3:$Q$505,""Select L where M = '""&amp;$B82&amp;""' and K = ""&amp;$A82,0))-1)&amp;rept(query('Saída'!$J$3:$Q$505,""Select P where M = '""&amp;$B82&amp;""' and K = ""&amp;$A82,0)&amp;""-"",query('Saída'!$J$3:$Q$505,""Select "&amp;"O where M = '""&amp;$B82&amp;""' and K = ""&amp;$A82,0)),""-""))"),"  ")</f>
        <v/>
      </c>
      <c r="F82" s="355"/>
      <c r="G82" s="355"/>
      <c r="H82" s="355"/>
      <c r="I82" s="355"/>
      <c r="J82" s="355"/>
      <c r="K82" s="355"/>
      <c r="L82" s="355"/>
      <c r="M82" s="355"/>
      <c r="N82" s="355"/>
      <c r="O82" s="355"/>
      <c r="P82" s="355"/>
      <c r="Q82" s="355"/>
      <c r="R82" s="355"/>
      <c r="S82" s="355"/>
      <c r="T82" s="355"/>
      <c r="U82" s="355"/>
      <c r="V82" s="355"/>
      <c r="W82" s="355"/>
      <c r="X82" s="355"/>
      <c r="Y82" s="355"/>
      <c r="Z82" s="355"/>
      <c r="AA82" s="356"/>
      <c r="AB82" s="21"/>
      <c r="AC82" s="362"/>
      <c r="AD82" s="363"/>
      <c r="AE82" s="302"/>
      <c r="AF82" s="21"/>
      <c r="AG82" s="363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</row>
    <row r="83">
      <c r="A83" s="361"/>
      <c r="B83" s="350"/>
      <c r="C83" s="351" t="str">
        <f>IFERROR(__xludf.DUMMYFUNCTION("IF(ISBLANK($B83),"""",query('Saída'!$K$3:$Q$505,""Select Q where M = '""&amp;$B83&amp;""' and K = ""&amp;$A83,0))"),"")</f>
        <v/>
      </c>
      <c r="D83" s="352"/>
      <c r="E83" s="353" t="str">
        <f>IFERROR(__xludf.DUMMYFUNCTION("if(isblank($B83),"""",split(rept(0&amp;""-"",month(query('Saída'!$J$3:$Q$505,""Select L where M = '""&amp;$B83&amp;""' and K = ""&amp;$A83,0))-1)&amp;rept(query('Saída'!$J$3:$Q$505,""Select P where M = '""&amp;$B83&amp;""' and K = ""&amp;$A83,0)&amp;""-"",query('Saída'!$J$3:$Q$505,""Select "&amp;"O where M = '""&amp;$B83&amp;""' and K = ""&amp;$A83,0)),""-""))"),"  ")</f>
        <v/>
      </c>
      <c r="F83" s="355"/>
      <c r="G83" s="355"/>
      <c r="H83" s="355"/>
      <c r="I83" s="355"/>
      <c r="J83" s="355"/>
      <c r="K83" s="355"/>
      <c r="L83" s="355"/>
      <c r="M83" s="355"/>
      <c r="N83" s="355"/>
      <c r="O83" s="355"/>
      <c r="P83" s="355"/>
      <c r="Q83" s="355"/>
      <c r="R83" s="355"/>
      <c r="S83" s="355"/>
      <c r="T83" s="355"/>
      <c r="U83" s="355"/>
      <c r="V83" s="355"/>
      <c r="W83" s="355"/>
      <c r="X83" s="355"/>
      <c r="Y83" s="355"/>
      <c r="Z83" s="355"/>
      <c r="AA83" s="356"/>
      <c r="AB83" s="21"/>
      <c r="AC83" s="362"/>
      <c r="AD83" s="363"/>
      <c r="AE83" s="302"/>
      <c r="AF83" s="21"/>
      <c r="AG83" s="363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</row>
    <row r="84">
      <c r="A84" s="361"/>
      <c r="B84" s="350"/>
      <c r="C84" s="351" t="str">
        <f>IFERROR(__xludf.DUMMYFUNCTION("IF(ISBLANK($B84),"""",query('Saída'!$K$3:$Q$505,""Select Q where M = '""&amp;$B84&amp;""' and K = ""&amp;$A84,0))"),"")</f>
        <v/>
      </c>
      <c r="D84" s="352"/>
      <c r="E84" s="353" t="str">
        <f>IFERROR(__xludf.DUMMYFUNCTION("if(isblank($B84),"""",split(rept(0&amp;""-"",month(query('Saída'!$J$3:$Q$505,""Select L where M = '""&amp;$B84&amp;""' and K = ""&amp;$A84,0))-1)&amp;rept(query('Saída'!$J$3:$Q$505,""Select P where M = '""&amp;$B84&amp;""' and K = ""&amp;$A84,0)&amp;""-"",query('Saída'!$J$3:$Q$505,""Select "&amp;"O where M = '""&amp;$B84&amp;""' and K = ""&amp;$A84,0)),""-""))"),"  ")</f>
        <v/>
      </c>
      <c r="F84" s="355"/>
      <c r="G84" s="355"/>
      <c r="H84" s="355"/>
      <c r="I84" s="355"/>
      <c r="J84" s="355"/>
      <c r="K84" s="355"/>
      <c r="L84" s="355"/>
      <c r="M84" s="355"/>
      <c r="N84" s="355"/>
      <c r="O84" s="355"/>
      <c r="P84" s="355"/>
      <c r="Q84" s="355"/>
      <c r="R84" s="355"/>
      <c r="S84" s="355"/>
      <c r="T84" s="355"/>
      <c r="U84" s="355"/>
      <c r="V84" s="355"/>
      <c r="W84" s="355"/>
      <c r="X84" s="355"/>
      <c r="Y84" s="355"/>
      <c r="Z84" s="355"/>
      <c r="AA84" s="356"/>
      <c r="AB84" s="21"/>
      <c r="AC84" s="362"/>
      <c r="AD84" s="363"/>
      <c r="AE84" s="302"/>
      <c r="AF84" s="21"/>
      <c r="AG84" s="363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</row>
    <row r="85">
      <c r="A85" s="361"/>
      <c r="B85" s="350"/>
      <c r="C85" s="351" t="str">
        <f>IFERROR(__xludf.DUMMYFUNCTION("IF(ISBLANK($B85),"""",query('Saída'!$K$3:$Q$505,""Select Q where M = '""&amp;$B85&amp;""' and K = ""&amp;$A85,0))"),"")</f>
        <v/>
      </c>
      <c r="D85" s="352"/>
      <c r="E85" s="353" t="str">
        <f>IFERROR(__xludf.DUMMYFUNCTION("if(isblank($B85),"""",split(rept(0&amp;""-"",month(query('Saída'!$J$3:$Q$505,""Select L where M = '""&amp;$B85&amp;""' and K = ""&amp;$A85,0))-1)&amp;rept(query('Saída'!$J$3:$Q$505,""Select P where M = '""&amp;$B85&amp;""' and K = ""&amp;$A85,0)&amp;""-"",query('Saída'!$J$3:$Q$505,""Select "&amp;"O where M = '""&amp;$B85&amp;""' and K = ""&amp;$A85,0)),""-""))"),"  ")</f>
        <v/>
      </c>
      <c r="F85" s="355"/>
      <c r="G85" s="355"/>
      <c r="H85" s="355"/>
      <c r="I85" s="355"/>
      <c r="J85" s="355"/>
      <c r="K85" s="355"/>
      <c r="L85" s="355"/>
      <c r="M85" s="355"/>
      <c r="N85" s="355"/>
      <c r="O85" s="355"/>
      <c r="P85" s="355"/>
      <c r="Q85" s="355"/>
      <c r="R85" s="355"/>
      <c r="S85" s="355"/>
      <c r="T85" s="355"/>
      <c r="U85" s="355"/>
      <c r="V85" s="355"/>
      <c r="W85" s="355"/>
      <c r="X85" s="355"/>
      <c r="Y85" s="355"/>
      <c r="Z85" s="355"/>
      <c r="AA85" s="356"/>
      <c r="AB85" s="21"/>
      <c r="AC85" s="362"/>
      <c r="AD85" s="363"/>
      <c r="AE85" s="302"/>
      <c r="AF85" s="21"/>
      <c r="AG85" s="363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</row>
    <row r="86">
      <c r="A86" s="361"/>
      <c r="B86" s="350"/>
      <c r="C86" s="351" t="str">
        <f>IFERROR(__xludf.DUMMYFUNCTION("IF(ISBLANK($B86),"""",query('Saída'!$K$3:$Q$505,""Select Q where M = '""&amp;$B86&amp;""' and K = ""&amp;$A86,0))"),"")</f>
        <v/>
      </c>
      <c r="D86" s="352"/>
      <c r="E86" s="353" t="str">
        <f>IFERROR(__xludf.DUMMYFUNCTION("if(isblank($B86),"""",split(rept(0&amp;""-"",month(query('Saída'!$J$3:$Q$505,""Select L where M = '""&amp;$B86&amp;""' and K = ""&amp;$A86,0))-1)&amp;rept(query('Saída'!$J$3:$Q$505,""Select P where M = '""&amp;$B86&amp;""' and K = ""&amp;$A86,0)&amp;""-"",query('Saída'!$J$3:$Q$505,""Select "&amp;"O where M = '""&amp;$B86&amp;""' and K = ""&amp;$A86,0)),""-""))"),"  ")</f>
        <v/>
      </c>
      <c r="F86" s="355"/>
      <c r="G86" s="355"/>
      <c r="H86" s="355"/>
      <c r="I86" s="355"/>
      <c r="J86" s="355"/>
      <c r="K86" s="355"/>
      <c r="L86" s="355"/>
      <c r="M86" s="355"/>
      <c r="N86" s="355"/>
      <c r="O86" s="355"/>
      <c r="P86" s="355"/>
      <c r="Q86" s="355"/>
      <c r="R86" s="355"/>
      <c r="S86" s="355"/>
      <c r="T86" s="355"/>
      <c r="U86" s="355"/>
      <c r="V86" s="355"/>
      <c r="W86" s="355"/>
      <c r="X86" s="355"/>
      <c r="Y86" s="355"/>
      <c r="Z86" s="355"/>
      <c r="AA86" s="356"/>
      <c r="AB86" s="21"/>
      <c r="AC86" s="362"/>
      <c r="AD86" s="363"/>
      <c r="AE86" s="302"/>
      <c r="AF86" s="21"/>
      <c r="AG86" s="363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</row>
    <row r="87">
      <c r="A87" s="361"/>
      <c r="B87" s="350"/>
      <c r="C87" s="351" t="str">
        <f>IFERROR(__xludf.DUMMYFUNCTION("IF(ISBLANK($B87),"""",query('Saída'!$K$3:$Q$505,""Select Q where M = '""&amp;$B87&amp;""' and K = ""&amp;$A87,0))"),"")</f>
        <v/>
      </c>
      <c r="D87" s="352"/>
      <c r="E87" s="353" t="str">
        <f>IFERROR(__xludf.DUMMYFUNCTION("if(isblank($B87),"""",split(rept(0&amp;""-"",month(query('Saída'!$J$3:$Q$505,""Select L where M = '""&amp;$B87&amp;""' and K = ""&amp;$A87,0))-1)&amp;rept(query('Saída'!$J$3:$Q$505,""Select P where M = '""&amp;$B87&amp;""' and K = ""&amp;$A87,0)&amp;""-"",query('Saída'!$J$3:$Q$505,""Select "&amp;"O where M = '""&amp;$B87&amp;""' and K = ""&amp;$A87,0)),""-""))"),"  ")</f>
        <v/>
      </c>
      <c r="F87" s="355"/>
      <c r="G87" s="355"/>
      <c r="H87" s="355"/>
      <c r="I87" s="355"/>
      <c r="J87" s="355"/>
      <c r="K87" s="355"/>
      <c r="L87" s="355"/>
      <c r="M87" s="355"/>
      <c r="N87" s="355"/>
      <c r="O87" s="355"/>
      <c r="P87" s="355"/>
      <c r="Q87" s="355"/>
      <c r="R87" s="355"/>
      <c r="S87" s="355"/>
      <c r="T87" s="355"/>
      <c r="U87" s="355"/>
      <c r="V87" s="355"/>
      <c r="W87" s="355"/>
      <c r="X87" s="355"/>
      <c r="Y87" s="355"/>
      <c r="Z87" s="355"/>
      <c r="AA87" s="356"/>
      <c r="AB87" s="21"/>
      <c r="AC87" s="362"/>
      <c r="AD87" s="363"/>
      <c r="AE87" s="302"/>
      <c r="AF87" s="21"/>
      <c r="AG87" s="363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</row>
    <row r="88">
      <c r="A88" s="361"/>
      <c r="B88" s="350"/>
      <c r="C88" s="351" t="str">
        <f>IFERROR(__xludf.DUMMYFUNCTION("IF(ISBLANK($B88),"""",query('Saída'!$K$3:$Q$505,""Select Q where M = '""&amp;$B88&amp;""' and K = ""&amp;$A88,0))"),"")</f>
        <v/>
      </c>
      <c r="D88" s="352"/>
      <c r="E88" s="353" t="str">
        <f>IFERROR(__xludf.DUMMYFUNCTION("if(isblank($B88),"""",split(rept(0&amp;""-"",month(query('Saída'!$J$3:$Q$505,""Select L where M = '""&amp;$B88&amp;""' and K = ""&amp;$A88,0))-1)&amp;rept(query('Saída'!$J$3:$Q$505,""Select P where M = '""&amp;$B88&amp;""' and K = ""&amp;$A88,0)&amp;""-"",query('Saída'!$J$3:$Q$505,""Select "&amp;"O where M = '""&amp;$B88&amp;""' and K = ""&amp;$A88,0)),""-""))"),"  ")</f>
        <v/>
      </c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  <c r="X88" s="355"/>
      <c r="Y88" s="355"/>
      <c r="Z88" s="355"/>
      <c r="AA88" s="356"/>
      <c r="AB88" s="21"/>
      <c r="AC88" s="362"/>
      <c r="AD88" s="363"/>
      <c r="AE88" s="302"/>
      <c r="AF88" s="21"/>
      <c r="AG88" s="363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</row>
    <row r="89">
      <c r="A89" s="361"/>
      <c r="B89" s="350"/>
      <c r="C89" s="351" t="str">
        <f>IFERROR(__xludf.DUMMYFUNCTION("IF(ISBLANK($B89),"""",query('Saída'!$K$3:$Q$505,""Select Q where M = '""&amp;$B89&amp;""' and K = ""&amp;$A89,0))"),"")</f>
        <v/>
      </c>
      <c r="D89" s="352"/>
      <c r="E89" s="353" t="str">
        <f>IFERROR(__xludf.DUMMYFUNCTION("if(isblank($B89),"""",split(rept(0&amp;""-"",month(query('Saída'!$J$3:$Q$505,""Select L where M = '""&amp;$B89&amp;""' and K = ""&amp;$A89,0))-1)&amp;rept(query('Saída'!$J$3:$Q$505,""Select P where M = '""&amp;$B89&amp;""' and K = ""&amp;$A89,0)&amp;""-"",query('Saída'!$J$3:$Q$505,""Select "&amp;"O where M = '""&amp;$B89&amp;""' and K = ""&amp;$A89,0)),""-""))"),"  ")</f>
        <v/>
      </c>
      <c r="F89" s="355"/>
      <c r="G89" s="355"/>
      <c r="H89" s="355"/>
      <c r="I89" s="355"/>
      <c r="J89" s="355"/>
      <c r="K89" s="355"/>
      <c r="L89" s="355"/>
      <c r="M89" s="355"/>
      <c r="N89" s="355"/>
      <c r="O89" s="355"/>
      <c r="P89" s="355"/>
      <c r="Q89" s="355"/>
      <c r="R89" s="355"/>
      <c r="S89" s="355"/>
      <c r="T89" s="355"/>
      <c r="U89" s="355"/>
      <c r="V89" s="355"/>
      <c r="W89" s="355"/>
      <c r="X89" s="355"/>
      <c r="Y89" s="355"/>
      <c r="Z89" s="355"/>
      <c r="AA89" s="356"/>
      <c r="AB89" s="21"/>
      <c r="AC89" s="362"/>
      <c r="AD89" s="363"/>
      <c r="AE89" s="302"/>
      <c r="AF89" s="21"/>
      <c r="AG89" s="363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</row>
    <row r="90">
      <c r="A90" s="361"/>
      <c r="B90" s="350"/>
      <c r="C90" s="351" t="str">
        <f>IFERROR(__xludf.DUMMYFUNCTION("IF(ISBLANK($B90),"""",query('Saída'!$K$3:$Q$505,""Select Q where M = '""&amp;$B90&amp;""' and K = ""&amp;$A90,0))"),"")</f>
        <v/>
      </c>
      <c r="D90" s="352"/>
      <c r="E90" s="353" t="str">
        <f>IFERROR(__xludf.DUMMYFUNCTION("if(isblank($B90),"""",split(rept(0&amp;""-"",month(query('Saída'!$J$3:$Q$505,""Select L where M = '""&amp;$B90&amp;""' and K = ""&amp;$A90,0))-1)&amp;rept(query('Saída'!$J$3:$Q$505,""Select P where M = '""&amp;$B90&amp;""' and K = ""&amp;$A90,0)&amp;""-"",query('Saída'!$J$3:$Q$505,""Select "&amp;"O where M = '""&amp;$B90&amp;""' and K = ""&amp;$A90,0)),""-""))"),"  ")</f>
        <v/>
      </c>
      <c r="F90" s="355"/>
      <c r="G90" s="355"/>
      <c r="H90" s="355"/>
      <c r="I90" s="355"/>
      <c r="J90" s="355"/>
      <c r="K90" s="355"/>
      <c r="L90" s="355"/>
      <c r="M90" s="355"/>
      <c r="N90" s="355"/>
      <c r="O90" s="355"/>
      <c r="P90" s="355"/>
      <c r="Q90" s="355"/>
      <c r="R90" s="355"/>
      <c r="S90" s="355"/>
      <c r="T90" s="355"/>
      <c r="U90" s="355"/>
      <c r="V90" s="355"/>
      <c r="W90" s="355"/>
      <c r="X90" s="355"/>
      <c r="Y90" s="355"/>
      <c r="Z90" s="355"/>
      <c r="AA90" s="356"/>
      <c r="AB90" s="21"/>
      <c r="AC90" s="362"/>
      <c r="AD90" s="363"/>
      <c r="AE90" s="302"/>
      <c r="AF90" s="21"/>
      <c r="AG90" s="363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</row>
    <row r="91">
      <c r="A91" s="361"/>
      <c r="B91" s="350"/>
      <c r="C91" s="351" t="str">
        <f>IFERROR(__xludf.DUMMYFUNCTION("IF(ISBLANK($B91),"""",query('Saída'!$K$3:$Q$505,""Select Q where M = '""&amp;$B91&amp;""' and K = ""&amp;$A91,0))"),"")</f>
        <v/>
      </c>
      <c r="D91" s="352"/>
      <c r="E91" s="353" t="str">
        <f>IFERROR(__xludf.DUMMYFUNCTION("if(isblank($B91),"""",split(rept(0&amp;""-"",month(query('Saída'!$J$3:$Q$505,""Select L where M = '""&amp;$B91&amp;""' and K = ""&amp;$A91,0))-1)&amp;rept(query('Saída'!$J$3:$Q$505,""Select P where M = '""&amp;$B91&amp;""' and K = ""&amp;$A91,0)&amp;""-"",query('Saída'!$J$3:$Q$505,""Select "&amp;"O where M = '""&amp;$B91&amp;""' and K = ""&amp;$A91,0)),""-""))"),"  ")</f>
        <v/>
      </c>
      <c r="F91" s="355"/>
      <c r="G91" s="355"/>
      <c r="H91" s="355"/>
      <c r="I91" s="355"/>
      <c r="J91" s="355"/>
      <c r="K91" s="355"/>
      <c r="L91" s="355"/>
      <c r="M91" s="355"/>
      <c r="N91" s="355"/>
      <c r="O91" s="355"/>
      <c r="P91" s="355"/>
      <c r="Q91" s="355"/>
      <c r="R91" s="355"/>
      <c r="S91" s="355"/>
      <c r="T91" s="355"/>
      <c r="U91" s="355"/>
      <c r="V91" s="355"/>
      <c r="W91" s="355"/>
      <c r="X91" s="355"/>
      <c r="Y91" s="355"/>
      <c r="Z91" s="355"/>
      <c r="AA91" s="356"/>
      <c r="AB91" s="21"/>
      <c r="AC91" s="362"/>
      <c r="AD91" s="363"/>
      <c r="AE91" s="302"/>
      <c r="AF91" s="21"/>
      <c r="AG91" s="363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</row>
    <row r="92">
      <c r="A92" s="361"/>
      <c r="B92" s="350"/>
      <c r="C92" s="351" t="str">
        <f>IFERROR(__xludf.DUMMYFUNCTION("IF(ISBLANK($B92),"""",query('Saída'!$K$3:$Q$505,""Select Q where M = '""&amp;$B92&amp;""' and K = ""&amp;$A92,0))"),"")</f>
        <v/>
      </c>
      <c r="D92" s="352"/>
      <c r="E92" s="353" t="str">
        <f>IFERROR(__xludf.DUMMYFUNCTION("if(isblank($B92),"""",split(rept(0&amp;""-"",month(query('Saída'!$J$3:$Q$505,""Select L where M = '""&amp;$B92&amp;""' and K = ""&amp;$A92,0))-1)&amp;rept(query('Saída'!$J$3:$Q$505,""Select P where M = '""&amp;$B92&amp;""' and K = ""&amp;$A92,0)&amp;""-"",query('Saída'!$J$3:$Q$505,""Select "&amp;"O where M = '""&amp;$B92&amp;""' and K = ""&amp;$A92,0)),""-""))"),"  ")</f>
        <v/>
      </c>
      <c r="F92" s="355"/>
      <c r="G92" s="355"/>
      <c r="H92" s="355"/>
      <c r="I92" s="355"/>
      <c r="J92" s="355"/>
      <c r="K92" s="355"/>
      <c r="L92" s="355"/>
      <c r="M92" s="355"/>
      <c r="N92" s="355"/>
      <c r="O92" s="355"/>
      <c r="P92" s="355"/>
      <c r="Q92" s="355"/>
      <c r="R92" s="355"/>
      <c r="S92" s="355"/>
      <c r="T92" s="355"/>
      <c r="U92" s="355"/>
      <c r="V92" s="355"/>
      <c r="W92" s="355"/>
      <c r="X92" s="355"/>
      <c r="Y92" s="355"/>
      <c r="Z92" s="355"/>
      <c r="AA92" s="356"/>
      <c r="AB92" s="21"/>
      <c r="AC92" s="362"/>
      <c r="AD92" s="363"/>
      <c r="AE92" s="302"/>
      <c r="AF92" s="21"/>
      <c r="AG92" s="363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</row>
    <row r="93">
      <c r="A93" s="361"/>
      <c r="B93" s="350"/>
      <c r="C93" s="351" t="str">
        <f>IFERROR(__xludf.DUMMYFUNCTION("IF(ISBLANK($B93),"""",query('Saída'!$K$3:$Q$505,""Select Q where M = '""&amp;$B93&amp;""' and K = ""&amp;$A93,0))"),"")</f>
        <v/>
      </c>
      <c r="D93" s="352"/>
      <c r="E93" s="353" t="str">
        <f>IFERROR(__xludf.DUMMYFUNCTION("if(isblank($B93),"""",split(rept(0&amp;""-"",month(query('Saída'!$J$3:$Q$505,""Select L where M = '""&amp;$B93&amp;""' and K = ""&amp;$A93,0))-1)&amp;rept(query('Saída'!$J$3:$Q$505,""Select P where M = '""&amp;$B93&amp;""' and K = ""&amp;$A93,0)&amp;""-"",query('Saída'!$J$3:$Q$505,""Select "&amp;"O where M = '""&amp;$B93&amp;""' and K = ""&amp;$A93,0)),""-""))"),"  ")</f>
        <v/>
      </c>
      <c r="F93" s="355"/>
      <c r="G93" s="355"/>
      <c r="H93" s="355"/>
      <c r="I93" s="355"/>
      <c r="J93" s="355"/>
      <c r="K93" s="355"/>
      <c r="L93" s="355"/>
      <c r="M93" s="355"/>
      <c r="N93" s="355"/>
      <c r="O93" s="355"/>
      <c r="P93" s="355"/>
      <c r="Q93" s="355"/>
      <c r="R93" s="355"/>
      <c r="S93" s="355"/>
      <c r="T93" s="355"/>
      <c r="U93" s="355"/>
      <c r="V93" s="355"/>
      <c r="W93" s="355"/>
      <c r="X93" s="355"/>
      <c r="Y93" s="355"/>
      <c r="Z93" s="355"/>
      <c r="AA93" s="356"/>
      <c r="AB93" s="21"/>
      <c r="AC93" s="362"/>
      <c r="AD93" s="363"/>
      <c r="AE93" s="302"/>
      <c r="AF93" s="21"/>
      <c r="AG93" s="363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</row>
    <row r="94">
      <c r="A94" s="361"/>
      <c r="B94" s="350"/>
      <c r="C94" s="351" t="str">
        <f>IFERROR(__xludf.DUMMYFUNCTION("IF(ISBLANK($B94),"""",query('Saída'!$K$3:$Q$505,""Select Q where M = '""&amp;$B94&amp;""' and K = ""&amp;$A94,0))"),"")</f>
        <v/>
      </c>
      <c r="D94" s="352"/>
      <c r="E94" s="353" t="str">
        <f>IFERROR(__xludf.DUMMYFUNCTION("if(isblank($B94),"""",split(rept(0&amp;""-"",month(query('Saída'!$J$3:$Q$505,""Select L where M = '""&amp;$B94&amp;""' and K = ""&amp;$A94,0))-1)&amp;rept(query('Saída'!$J$3:$Q$505,""Select P where M = '""&amp;$B94&amp;""' and K = ""&amp;$A94,0)&amp;""-"",query('Saída'!$J$3:$Q$505,""Select "&amp;"O where M = '""&amp;$B94&amp;""' and K = ""&amp;$A94,0)),""-""))"),"  ")</f>
        <v/>
      </c>
      <c r="F94" s="355"/>
      <c r="G94" s="355"/>
      <c r="H94" s="355"/>
      <c r="I94" s="355"/>
      <c r="J94" s="355"/>
      <c r="K94" s="355"/>
      <c r="L94" s="355"/>
      <c r="M94" s="355"/>
      <c r="N94" s="355"/>
      <c r="O94" s="355"/>
      <c r="P94" s="355"/>
      <c r="Q94" s="355"/>
      <c r="R94" s="355"/>
      <c r="S94" s="355"/>
      <c r="T94" s="355"/>
      <c r="U94" s="355"/>
      <c r="V94" s="355"/>
      <c r="W94" s="355"/>
      <c r="X94" s="355"/>
      <c r="Y94" s="355"/>
      <c r="Z94" s="355"/>
      <c r="AA94" s="356"/>
      <c r="AB94" s="21"/>
      <c r="AC94" s="362"/>
      <c r="AD94" s="363"/>
      <c r="AE94" s="302"/>
      <c r="AF94" s="21"/>
      <c r="AG94" s="363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</row>
    <row r="95">
      <c r="A95" s="361"/>
      <c r="B95" s="350"/>
      <c r="C95" s="351" t="str">
        <f>IFERROR(__xludf.DUMMYFUNCTION("IF(ISBLANK($B95),"""",query('Saída'!$K$3:$Q$505,""Select Q where M = '""&amp;$B95&amp;""' and K = ""&amp;$A95,0))"),"")</f>
        <v/>
      </c>
      <c r="D95" s="352"/>
      <c r="E95" s="353" t="str">
        <f>IFERROR(__xludf.DUMMYFUNCTION("if(isblank($B95),"""",split(rept(0&amp;""-"",month(query('Saída'!$J$3:$Q$505,""Select L where M = '""&amp;$B95&amp;""' and K = ""&amp;$A95,0))-1)&amp;rept(query('Saída'!$J$3:$Q$505,""Select P where M = '""&amp;$B95&amp;""' and K = ""&amp;$A95,0)&amp;""-"",query('Saída'!$J$3:$Q$505,""Select "&amp;"O where M = '""&amp;$B95&amp;""' and K = ""&amp;$A95,0)),""-""))"),"  ")</f>
        <v/>
      </c>
      <c r="F95" s="355"/>
      <c r="G95" s="355"/>
      <c r="H95" s="355"/>
      <c r="I95" s="355"/>
      <c r="J95" s="355"/>
      <c r="K95" s="355"/>
      <c r="L95" s="355"/>
      <c r="M95" s="355"/>
      <c r="N95" s="355"/>
      <c r="O95" s="355"/>
      <c r="P95" s="355"/>
      <c r="Q95" s="355"/>
      <c r="R95" s="355"/>
      <c r="S95" s="355"/>
      <c r="T95" s="355"/>
      <c r="U95" s="355"/>
      <c r="V95" s="355"/>
      <c r="W95" s="355"/>
      <c r="X95" s="355"/>
      <c r="Y95" s="355"/>
      <c r="Z95" s="355"/>
      <c r="AA95" s="356"/>
      <c r="AB95" s="21"/>
      <c r="AC95" s="362"/>
      <c r="AD95" s="363"/>
      <c r="AE95" s="302"/>
      <c r="AF95" s="21"/>
      <c r="AG95" s="363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</row>
    <row r="96">
      <c r="A96" s="361"/>
      <c r="B96" s="350"/>
      <c r="C96" s="351" t="str">
        <f>IFERROR(__xludf.DUMMYFUNCTION("IF(ISBLANK($B96),"""",query('Saída'!$K$3:$Q$505,""Select Q where M = '""&amp;$B96&amp;""' and K = ""&amp;$A96,0))"),"")</f>
        <v/>
      </c>
      <c r="D96" s="352"/>
      <c r="E96" s="353" t="str">
        <f>IFERROR(__xludf.DUMMYFUNCTION("if(isblank($B96),"""",split(rept(0&amp;""-"",month(query('Saída'!$J$3:$Q$505,""Select L where M = '""&amp;$B96&amp;""' and K = ""&amp;$A96,0))-1)&amp;rept(query('Saída'!$J$3:$Q$505,""Select P where M = '""&amp;$B96&amp;""' and K = ""&amp;$A96,0)&amp;""-"",query('Saída'!$J$3:$Q$505,""Select "&amp;"O where M = '""&amp;$B96&amp;""' and K = ""&amp;$A96,0)),""-""))"),"  ")</f>
        <v/>
      </c>
      <c r="F96" s="355"/>
      <c r="G96" s="355"/>
      <c r="H96" s="355"/>
      <c r="I96" s="355"/>
      <c r="J96" s="355"/>
      <c r="K96" s="355"/>
      <c r="L96" s="355"/>
      <c r="M96" s="355"/>
      <c r="N96" s="355"/>
      <c r="O96" s="355"/>
      <c r="P96" s="355"/>
      <c r="Q96" s="355"/>
      <c r="R96" s="355"/>
      <c r="S96" s="355"/>
      <c r="T96" s="355"/>
      <c r="U96" s="355"/>
      <c r="V96" s="355"/>
      <c r="W96" s="355"/>
      <c r="X96" s="355"/>
      <c r="Y96" s="355"/>
      <c r="Z96" s="355"/>
      <c r="AA96" s="356"/>
      <c r="AB96" s="21"/>
      <c r="AC96" s="362"/>
      <c r="AD96" s="363"/>
      <c r="AE96" s="302"/>
      <c r="AF96" s="21"/>
      <c r="AG96" s="363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</row>
    <row r="97">
      <c r="A97" s="361"/>
      <c r="B97" s="350"/>
      <c r="C97" s="351" t="str">
        <f>IFERROR(__xludf.DUMMYFUNCTION("IF(ISBLANK($B97),"""",query('Saída'!$K$3:$Q$505,""Select Q where M = '""&amp;$B97&amp;""' and K = ""&amp;$A97,0))"),"")</f>
        <v/>
      </c>
      <c r="D97" s="352"/>
      <c r="E97" s="353" t="str">
        <f>IFERROR(__xludf.DUMMYFUNCTION("if(isblank($B97),"""",split(rept(0&amp;""-"",month(query('Saída'!$J$3:$Q$505,""Select L where M = '""&amp;$B97&amp;""' and K = ""&amp;$A97,0))-1)&amp;rept(query('Saída'!$J$3:$Q$505,""Select P where M = '""&amp;$B97&amp;""' and K = ""&amp;$A97,0)&amp;""-"",query('Saída'!$J$3:$Q$505,""Select "&amp;"O where M = '""&amp;$B97&amp;""' and K = ""&amp;$A97,0)),""-""))"),"  ")</f>
        <v/>
      </c>
      <c r="F97" s="355"/>
      <c r="G97" s="355"/>
      <c r="H97" s="355"/>
      <c r="I97" s="355"/>
      <c r="J97" s="355"/>
      <c r="K97" s="355"/>
      <c r="L97" s="355"/>
      <c r="M97" s="355"/>
      <c r="N97" s="355"/>
      <c r="O97" s="355"/>
      <c r="P97" s="355"/>
      <c r="Q97" s="355"/>
      <c r="R97" s="355"/>
      <c r="S97" s="355"/>
      <c r="T97" s="355"/>
      <c r="U97" s="355"/>
      <c r="V97" s="355"/>
      <c r="W97" s="355"/>
      <c r="X97" s="355"/>
      <c r="Y97" s="355"/>
      <c r="Z97" s="355"/>
      <c r="AA97" s="356"/>
      <c r="AB97" s="21"/>
      <c r="AC97" s="362"/>
      <c r="AD97" s="363"/>
      <c r="AE97" s="302"/>
      <c r="AF97" s="21"/>
      <c r="AG97" s="363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</row>
    <row r="98">
      <c r="A98" s="361"/>
      <c r="B98" s="350"/>
      <c r="C98" s="351" t="str">
        <f>IFERROR(__xludf.DUMMYFUNCTION("IF(ISBLANK($B98),"""",query('Saída'!$K$3:$Q$505,""Select Q where M = '""&amp;$B98&amp;""' and K = ""&amp;$A98,0))"),"")</f>
        <v/>
      </c>
      <c r="D98" s="352"/>
      <c r="E98" s="353" t="str">
        <f>IFERROR(__xludf.DUMMYFUNCTION("if(isblank($B98),"""",split(rept(0&amp;""-"",month(query('Saída'!$J$3:$Q$505,""Select L where M = '""&amp;$B98&amp;""' and K = ""&amp;$A98,0))-1)&amp;rept(query('Saída'!$J$3:$Q$505,""Select P where M = '""&amp;$B98&amp;""' and K = ""&amp;$A98,0)&amp;""-"",query('Saída'!$J$3:$Q$505,""Select "&amp;"O where M = '""&amp;$B98&amp;""' and K = ""&amp;$A98,0)),""-""))"),"  ")</f>
        <v/>
      </c>
      <c r="F98" s="355"/>
      <c r="G98" s="355"/>
      <c r="H98" s="355"/>
      <c r="I98" s="355"/>
      <c r="J98" s="355"/>
      <c r="K98" s="355"/>
      <c r="L98" s="355"/>
      <c r="M98" s="355"/>
      <c r="N98" s="355"/>
      <c r="O98" s="355"/>
      <c r="P98" s="355"/>
      <c r="Q98" s="355"/>
      <c r="R98" s="355"/>
      <c r="S98" s="355"/>
      <c r="T98" s="355"/>
      <c r="U98" s="355"/>
      <c r="V98" s="355"/>
      <c r="W98" s="355"/>
      <c r="X98" s="355"/>
      <c r="Y98" s="355"/>
      <c r="Z98" s="355"/>
      <c r="AA98" s="356"/>
      <c r="AB98" s="21"/>
      <c r="AC98" s="362"/>
      <c r="AD98" s="363"/>
      <c r="AE98" s="302"/>
      <c r="AF98" s="21"/>
      <c r="AG98" s="363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</row>
    <row r="99">
      <c r="A99" s="364"/>
      <c r="B99" s="365"/>
      <c r="C99" s="366" t="s">
        <v>14</v>
      </c>
      <c r="D99" s="367">
        <v>540.07</v>
      </c>
      <c r="E99" s="368" t="str">
        <f>IFERROR(__xludf.DUMMYFUNCTION("if(isblank($B99),"""",split(rept(0&amp;""-"",month(query('Saída'!$J$3:$Q$505,""Select L where M = '""&amp;$B99&amp;""' and K = ""&amp;$A99,0))-1)&amp;rept(query('Saída'!$J$3:$Q$505,""Select P where M = '""&amp;$B99&amp;""' and K = ""&amp;$A99,0)&amp;""-"",query('Saída'!$J$3:$Q$505,""Select "&amp;"O where M = '""&amp;$B99&amp;""' and K = ""&amp;$A99,0)),""-""))"),"  ")</f>
        <v/>
      </c>
      <c r="F99" s="369"/>
      <c r="G99" s="369"/>
      <c r="H99" s="369"/>
      <c r="I99" s="369"/>
      <c r="J99" s="369"/>
      <c r="K99" s="369"/>
      <c r="L99" s="369"/>
      <c r="M99" s="369"/>
      <c r="N99" s="369"/>
      <c r="O99" s="369"/>
      <c r="P99" s="369"/>
      <c r="Q99" s="369"/>
      <c r="R99" s="369"/>
      <c r="S99" s="369"/>
      <c r="T99" s="369"/>
      <c r="U99" s="369"/>
      <c r="V99" s="369"/>
      <c r="W99" s="369"/>
      <c r="X99" s="369"/>
      <c r="Y99" s="369"/>
      <c r="Z99" s="369"/>
      <c r="AA99" s="370"/>
      <c r="AB99" s="21"/>
      <c r="AC99" s="362"/>
      <c r="AD99" s="363"/>
      <c r="AE99" s="302"/>
      <c r="AF99" s="21"/>
      <c r="AG99" s="363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</row>
    <row r="100">
      <c r="A100" s="300"/>
      <c r="B100" s="300" t="s">
        <v>354</v>
      </c>
      <c r="D100" s="301"/>
      <c r="E100" s="301"/>
      <c r="F100" s="301"/>
      <c r="G100" s="301"/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  <c r="T100" s="301"/>
      <c r="U100" s="301"/>
      <c r="V100" s="301"/>
      <c r="W100" s="301"/>
      <c r="X100" s="301"/>
      <c r="Y100" s="301"/>
      <c r="Z100" s="301"/>
      <c r="AA100" s="301"/>
      <c r="AB100" s="21"/>
      <c r="AC100" s="21"/>
      <c r="AD100" s="21"/>
      <c r="AE100" s="302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</row>
    <row r="101">
      <c r="A101" s="300"/>
      <c r="D101" s="303">
        <f>Inicio!$B$2</f>
        <v>2020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304"/>
      <c r="P101" s="303">
        <f>D101+1</f>
        <v>2021</v>
      </c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304"/>
      <c r="AB101" s="21"/>
      <c r="AC101" s="21"/>
      <c r="AD101" s="21"/>
      <c r="AE101" s="302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</row>
    <row r="102">
      <c r="A102" s="371"/>
      <c r="B102" s="371"/>
      <c r="C102" s="371"/>
      <c r="D102" s="372" t="s">
        <v>47</v>
      </c>
      <c r="E102" s="372" t="s">
        <v>48</v>
      </c>
      <c r="F102" s="372" t="s">
        <v>49</v>
      </c>
      <c r="G102" s="372" t="s">
        <v>50</v>
      </c>
      <c r="H102" s="372" t="s">
        <v>51</v>
      </c>
      <c r="I102" s="372" t="s">
        <v>52</v>
      </c>
      <c r="J102" s="372" t="s">
        <v>53</v>
      </c>
      <c r="K102" s="372" t="s">
        <v>54</v>
      </c>
      <c r="L102" s="372" t="s">
        <v>55</v>
      </c>
      <c r="M102" s="372" t="s">
        <v>56</v>
      </c>
      <c r="N102" s="372" t="s">
        <v>57</v>
      </c>
      <c r="O102" s="372" t="s">
        <v>58</v>
      </c>
      <c r="P102" s="372" t="s">
        <v>47</v>
      </c>
      <c r="Q102" s="372" t="s">
        <v>48</v>
      </c>
      <c r="R102" s="372" t="s">
        <v>49</v>
      </c>
      <c r="S102" s="372" t="s">
        <v>50</v>
      </c>
      <c r="T102" s="372" t="s">
        <v>51</v>
      </c>
      <c r="U102" s="372" t="s">
        <v>52</v>
      </c>
      <c r="V102" s="372" t="s">
        <v>53</v>
      </c>
      <c r="W102" s="372" t="s">
        <v>54</v>
      </c>
      <c r="X102" s="372" t="s">
        <v>55</v>
      </c>
      <c r="Y102" s="372" t="s">
        <v>56</v>
      </c>
      <c r="Z102" s="372" t="s">
        <v>57</v>
      </c>
      <c r="AA102" s="373" t="s">
        <v>58</v>
      </c>
      <c r="AB102" s="21"/>
      <c r="AC102" s="21"/>
      <c r="AD102" s="21"/>
      <c r="AE102" s="302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</row>
    <row r="103">
      <c r="A103" s="374"/>
      <c r="B103" s="375" t="s">
        <v>59</v>
      </c>
      <c r="C103" s="376" t="s">
        <v>350</v>
      </c>
      <c r="D103" s="377">
        <f>SUM(D104:D123)</f>
        <v>540.07</v>
      </c>
      <c r="E103" s="377">
        <f t="shared" ref="E103:AA103" si="11">SUM(E127:E182)</f>
        <v>0</v>
      </c>
      <c r="F103" s="377">
        <f t="shared" si="11"/>
        <v>0</v>
      </c>
      <c r="G103" s="377">
        <f t="shared" si="11"/>
        <v>0</v>
      </c>
      <c r="H103" s="377">
        <f t="shared" si="11"/>
        <v>0</v>
      </c>
      <c r="I103" s="377">
        <f t="shared" si="11"/>
        <v>0</v>
      </c>
      <c r="J103" s="377">
        <f t="shared" si="11"/>
        <v>0</v>
      </c>
      <c r="K103" s="377">
        <f t="shared" si="11"/>
        <v>0</v>
      </c>
      <c r="L103" s="377">
        <f t="shared" si="11"/>
        <v>0</v>
      </c>
      <c r="M103" s="377">
        <f t="shared" si="11"/>
        <v>0</v>
      </c>
      <c r="N103" s="377">
        <f t="shared" si="11"/>
        <v>0</v>
      </c>
      <c r="O103" s="377">
        <f t="shared" si="11"/>
        <v>0</v>
      </c>
      <c r="P103" s="377">
        <f t="shared" si="11"/>
        <v>0</v>
      </c>
      <c r="Q103" s="377">
        <f t="shared" si="11"/>
        <v>0</v>
      </c>
      <c r="R103" s="377">
        <f t="shared" si="11"/>
        <v>0</v>
      </c>
      <c r="S103" s="377">
        <f t="shared" si="11"/>
        <v>0</v>
      </c>
      <c r="T103" s="377">
        <f t="shared" si="11"/>
        <v>0</v>
      </c>
      <c r="U103" s="377">
        <f t="shared" si="11"/>
        <v>0</v>
      </c>
      <c r="V103" s="377">
        <f t="shared" si="11"/>
        <v>0</v>
      </c>
      <c r="W103" s="377">
        <f t="shared" si="11"/>
        <v>0</v>
      </c>
      <c r="X103" s="377">
        <f t="shared" si="11"/>
        <v>0</v>
      </c>
      <c r="Y103" s="377">
        <f t="shared" si="11"/>
        <v>0</v>
      </c>
      <c r="Z103" s="377">
        <f t="shared" si="11"/>
        <v>0</v>
      </c>
      <c r="AA103" s="378">
        <f t="shared" si="11"/>
        <v>0</v>
      </c>
      <c r="AB103" s="21"/>
      <c r="AC103" s="21"/>
      <c r="AD103" s="21"/>
      <c r="AE103" s="302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</row>
    <row r="104">
      <c r="A104" s="379"/>
      <c r="B104" s="380">
        <f t="shared" ref="B104:B123" si="12">if(isblank($C104),"",sum($D104:$AA104))</f>
        <v>3701.44</v>
      </c>
      <c r="C104" s="381" t="str">
        <f>IFERROR(__xludf.DUMMYFUNCTION("unique(Inicio!H6:H25)"),"NUCC")</f>
        <v>NUCC</v>
      </c>
      <c r="D104" s="382">
        <f>IFERROR(__xludf.DUMMYFUNCTION("iferror(if(isblank($C104),"""",sum(query('Saída'!$A$3:$H$505,""select E where B = 'Fatura' and H ='""&amp;$C104&amp;""' and A = '""&amp;D$102&amp;""'""))),"""")"),540.07)</f>
        <v>540.07</v>
      </c>
      <c r="E104" s="383">
        <f>IFERROR(__xludf.DUMMYFUNCTION("iferror(if(isblank($C104),"""",sum(query('Saída'!$A$3:$H$505,""select E where B = 'Fatura' and H ='""&amp;$C104&amp;""' and A = '""&amp;E$102&amp;""'""))),"""")"),577.8)</f>
        <v>577.8</v>
      </c>
      <c r="F104" s="383">
        <f>IFERROR(__xludf.DUMMYFUNCTION("iferror(if(isblank($C104),"""",sum(query('Saída'!$A$3:$H$505,""select E where B = 'Fatura' and H ='""&amp;$C104&amp;""' and A = '""&amp;F$102&amp;""'""))),"""")"),561.0)</f>
        <v>561</v>
      </c>
      <c r="G104" s="383">
        <f>IFERROR(__xludf.DUMMYFUNCTION("iferror(if(isblank($C104),"""",sum(query('Saída'!$A$3:$H$505,""select E where B = 'Fatura' and H ='""&amp;$C104&amp;""' and A = '""&amp;G$102&amp;""'""))),"""")"),548.35)</f>
        <v>548.35</v>
      </c>
      <c r="H104" s="383">
        <f>IFERROR(__xludf.DUMMYFUNCTION("iferror(if(isblank($C104),"""",sum(query('Saída'!$A$3:$H$505,""select E where B = 'Fatura' and H ='""&amp;$C104&amp;""' and A = '""&amp;H$102&amp;""'""))),"""")"),130.15)</f>
        <v>130.15</v>
      </c>
      <c r="I104" s="383">
        <f>IFERROR(__xludf.DUMMYFUNCTION("iferror(if(isblank($C104),"""",sum(query('Saída'!$A$3:$H$505,""select E where B = 'Fatura' and H ='""&amp;$C104&amp;""' and A = '""&amp;I$102&amp;""'""))),"""")"),107.19)</f>
        <v>107.19</v>
      </c>
      <c r="J104" s="383">
        <f>IFERROR(__xludf.DUMMYFUNCTION("iferror(if(isblank($C104),"""",sum(query('Saída'!$A$3:$H$505,""select E where B = 'Fatura' and H ='""&amp;$C104&amp;""' and A = '""&amp;J$102&amp;""'""))),"""")"),442.4)</f>
        <v>442.4</v>
      </c>
      <c r="K104" s="383" t="str">
        <f>IFERROR(__xludf.DUMMYFUNCTION("iferror(if(isblank($C104),"""",sum(query('Saída'!$A$3:$H$505,""select E where B = 'Fatura' and H ='""&amp;$C104&amp;""' and A = '""&amp;K$102&amp;""'""))),"""")"),"  ")</f>
        <v/>
      </c>
      <c r="L104" s="383">
        <f>IFERROR(__xludf.DUMMYFUNCTION("iferror(if(isblank($C104),"""",sum(query('Saída'!$A$3:$H$505,""select E where B = 'Fatura' and H ='""&amp;$C104&amp;""' and A = '""&amp;L$102&amp;""'""))),"""")"),65.67)</f>
        <v>65.67</v>
      </c>
      <c r="M104" s="383">
        <f>IFERROR(__xludf.DUMMYFUNCTION("iferror(if(isblank($C104),"""",sum(query('Saída'!$A$3:$H$505,""select E where B = 'Fatura' and H ='""&amp;$C104&amp;""' and A = '""&amp;M$102&amp;""'""))),"""")"),199.21)</f>
        <v>199.21</v>
      </c>
      <c r="N104" s="383">
        <f>IFERROR(__xludf.DUMMYFUNCTION("iferror(if(isblank($C104),"""",sum(query('Saída'!$A$3:$H$505,""select E where B = 'Fatura' and H ='""&amp;$C104&amp;""' and A = '""&amp;N$102&amp;""'""))),"""")"),239.82)</f>
        <v>239.82</v>
      </c>
      <c r="O104" s="383">
        <f>IFERROR(__xludf.DUMMYFUNCTION("iferror(if(isblank($C104),"""",sum(query('Saída'!$A$3:$H$505,""select E where B = 'Fatura' and H ='""&amp;$C104&amp;""' and A = '""&amp;O$102&amp;""'""))),"""")"),289.78)</f>
        <v>289.78</v>
      </c>
      <c r="P104" s="383"/>
      <c r="Q104" s="383"/>
      <c r="R104" s="383"/>
      <c r="S104" s="383"/>
      <c r="T104" s="383"/>
      <c r="U104" s="383"/>
      <c r="V104" s="383"/>
      <c r="W104" s="383"/>
      <c r="X104" s="383"/>
      <c r="Y104" s="383"/>
      <c r="Z104" s="383"/>
      <c r="AA104" s="384"/>
      <c r="AB104" s="21"/>
      <c r="AC104" s="21"/>
      <c r="AD104" s="21"/>
      <c r="AE104" s="302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</row>
    <row r="105">
      <c r="A105" s="379"/>
      <c r="B105" s="385" t="str">
        <f t="shared" si="12"/>
        <v/>
      </c>
      <c r="C105" s="386"/>
      <c r="D105" s="387" t="str">
        <f>IFERROR(__xludf.DUMMYFUNCTION("iferror(if(isblank($C105),"""",sum(query('Saída'!$A$3:$H$505,""select E where B = 'Fatura' and H ='""&amp;$C105&amp;""' and A = '""&amp;D$102&amp;""'""))),"""")"),"  ")</f>
        <v/>
      </c>
      <c r="E105" s="355" t="str">
        <f>IFERROR(__xludf.DUMMYFUNCTION("iferror(if(isblank($C105),"""",sum(query('Saída'!$A$3:$H$505,""select E where B = 'Fatura' and H ='""&amp;$C105&amp;""' and A = '""&amp;E$102&amp;""'""))),"""")"),"  ")</f>
        <v/>
      </c>
      <c r="F105" s="355" t="str">
        <f>IFERROR(__xludf.DUMMYFUNCTION("iferror(if(isblank($C105),"""",sum(query('Saída'!$A$3:$H$505,""select E where B = 'Fatura' and H ='""&amp;$C105&amp;""' and A = '""&amp;F$102&amp;""'""))),"""")"),"  ")</f>
        <v/>
      </c>
      <c r="G105" s="355" t="str">
        <f>IFERROR(__xludf.DUMMYFUNCTION("iferror(if(isblank($C105),"""",sum(query('Saída'!$A$3:$H$505,""select E where B = 'Fatura' and H ='""&amp;$C105&amp;""' and A = '""&amp;G$102&amp;""'""))),"""")"),"  ")</f>
        <v/>
      </c>
      <c r="H105" s="355" t="str">
        <f>IFERROR(__xludf.DUMMYFUNCTION("iferror(if(isblank($C105),"""",sum(query('Saída'!$A$3:$H$505,""select E where B = 'Fatura' and H ='""&amp;$C105&amp;""' and A = '""&amp;H$102&amp;""'""))),"""")"),"  ")</f>
        <v/>
      </c>
      <c r="I105" s="355" t="str">
        <f>IFERROR(__xludf.DUMMYFUNCTION("iferror(if(isblank($C105),"""",sum(query('Saída'!$A$3:$H$505,""select E where B = 'Fatura' and H ='""&amp;$C105&amp;""' and A = '""&amp;I$102&amp;""'""))),"""")"),"  ")</f>
        <v/>
      </c>
      <c r="J105" s="355" t="str">
        <f>IFERROR(__xludf.DUMMYFUNCTION("iferror(if(isblank($C105),"""",sum(query('Saída'!$A$3:$H$505,""select E where B = 'Fatura' and H ='""&amp;$C105&amp;""' and A = '""&amp;J$102&amp;""'""))),"""")"),"  ")</f>
        <v/>
      </c>
      <c r="K105" s="355" t="str">
        <f>IFERROR(__xludf.DUMMYFUNCTION("iferror(if(isblank($C105),"""",sum(query('Saída'!$A$3:$H$505,""select E where B = 'Fatura' and H ='""&amp;$C105&amp;""' and A = '""&amp;K$102&amp;""'""))),"""")"),"  ")</f>
        <v/>
      </c>
      <c r="L105" s="355" t="str">
        <f>IFERROR(__xludf.DUMMYFUNCTION("iferror(if(isblank($C105),"""",sum(query('Saída'!$A$3:$H$505,""select E where B = 'Fatura' and H ='""&amp;$C105&amp;""' and A = '""&amp;L$102&amp;""'""))),"""")"),"  ")</f>
        <v/>
      </c>
      <c r="M105" s="355" t="str">
        <f>IFERROR(__xludf.DUMMYFUNCTION("iferror(if(isblank($C105),"""",sum(query('Saída'!$A$3:$H$505,""select E where B = 'Fatura' and H ='""&amp;$C105&amp;""' and A = '""&amp;M$102&amp;""'""))),"""")"),"  ")</f>
        <v/>
      </c>
      <c r="N105" s="355" t="str">
        <f>IFERROR(__xludf.DUMMYFUNCTION("iferror(if(isblank($C105),"""",sum(query('Saída'!$A$3:$H$505,""select E where B = 'Fatura' and H ='""&amp;$C105&amp;""' and A = '""&amp;N$102&amp;""'""))),"""")"),"  ")</f>
        <v/>
      </c>
      <c r="O105" s="355" t="str">
        <f>IFERROR(__xludf.DUMMYFUNCTION("iferror(if(isblank($C105),"""",sum(query('Saída'!$A$3:$H$505,""select E where B = 'Fatura' and H ='""&amp;$C105&amp;""' and A = '""&amp;O$102&amp;""'""))),"""")"),"  ")</f>
        <v/>
      </c>
      <c r="P105" s="355"/>
      <c r="Q105" s="355"/>
      <c r="R105" s="355"/>
      <c r="S105" s="355"/>
      <c r="T105" s="355"/>
      <c r="U105" s="355"/>
      <c r="V105" s="355"/>
      <c r="W105" s="355"/>
      <c r="X105" s="355"/>
      <c r="Y105" s="355"/>
      <c r="Z105" s="355"/>
      <c r="AA105" s="356"/>
      <c r="AB105" s="21"/>
      <c r="AC105" s="21"/>
      <c r="AD105" s="21"/>
      <c r="AE105" s="302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</row>
    <row r="106">
      <c r="A106" s="379"/>
      <c r="B106" s="385" t="str">
        <f t="shared" si="12"/>
        <v/>
      </c>
      <c r="C106" s="386"/>
      <c r="D106" s="387" t="str">
        <f>IFERROR(__xludf.DUMMYFUNCTION("iferror(if(isblank($C106),"""",sum(query('Saída'!$A$3:$H$505,""select E where B = 'Fatura' and H ='""&amp;$C106&amp;""' and A = '""&amp;D$102&amp;""'""))),"""")"),"  ")</f>
        <v/>
      </c>
      <c r="E106" s="355" t="str">
        <f>IFERROR(__xludf.DUMMYFUNCTION("iferror(if(isblank($C106),"""",sum(query('Saída'!$A$3:$H$505,""select E where B = 'Fatura' and H ='""&amp;$C106&amp;""' and A = '""&amp;E$102&amp;""'""))),"""")"),"  ")</f>
        <v/>
      </c>
      <c r="F106" s="355" t="str">
        <f>IFERROR(__xludf.DUMMYFUNCTION("iferror(if(isblank($C106),"""",sum(query('Saída'!$A$3:$H$505,""select E where B = 'Fatura' and H ='""&amp;$C106&amp;""' and A = '""&amp;F$102&amp;""'""))),"""")"),"  ")</f>
        <v/>
      </c>
      <c r="G106" s="355" t="str">
        <f>IFERROR(__xludf.DUMMYFUNCTION("iferror(if(isblank($C106),"""",sum(query('Saída'!$A$3:$H$505,""select E where B = 'Fatura' and H ='""&amp;$C106&amp;""' and A = '""&amp;G$102&amp;""'""))),"""")"),"  ")</f>
        <v/>
      </c>
      <c r="H106" s="355" t="str">
        <f>IFERROR(__xludf.DUMMYFUNCTION("iferror(if(isblank($C106),"""",sum(query('Saída'!$A$3:$H$505,""select E where B = 'Fatura' and H ='""&amp;$C106&amp;""' and A = '""&amp;H$102&amp;""'""))),"""")"),"  ")</f>
        <v/>
      </c>
      <c r="I106" s="355" t="str">
        <f>IFERROR(__xludf.DUMMYFUNCTION("iferror(if(isblank($C106),"""",sum(query('Saída'!$A$3:$H$505,""select E where B = 'Fatura' and H ='""&amp;$C106&amp;""' and A = '""&amp;I$102&amp;""'""))),"""")"),"  ")</f>
        <v/>
      </c>
      <c r="J106" s="355" t="str">
        <f>IFERROR(__xludf.DUMMYFUNCTION("iferror(if(isblank($C106),"""",sum(query('Saída'!$A$3:$H$505,""select E where B = 'Fatura' and H ='""&amp;$C106&amp;""' and A = '""&amp;J$102&amp;""'""))),"""")"),"  ")</f>
        <v/>
      </c>
      <c r="K106" s="355" t="str">
        <f>IFERROR(__xludf.DUMMYFUNCTION("iferror(if(isblank($C106),"""",sum(query('Saída'!$A$3:$H$505,""select E where B = 'Fatura' and H ='""&amp;$C106&amp;""' and A = '""&amp;K$102&amp;""'""))),"""")"),"  ")</f>
        <v/>
      </c>
      <c r="L106" s="355" t="str">
        <f>IFERROR(__xludf.DUMMYFUNCTION("iferror(if(isblank($C106),"""",sum(query('Saída'!$A$3:$H$505,""select E where B = 'Fatura' and H ='""&amp;$C106&amp;""' and A = '""&amp;L$102&amp;""'""))),"""")"),"  ")</f>
        <v/>
      </c>
      <c r="M106" s="355" t="str">
        <f>IFERROR(__xludf.DUMMYFUNCTION("iferror(if(isblank($C106),"""",sum(query('Saída'!$A$3:$H$505,""select E where B = 'Fatura' and H ='""&amp;$C106&amp;""' and A = '""&amp;M$102&amp;""'""))),"""")"),"  ")</f>
        <v/>
      </c>
      <c r="N106" s="355" t="str">
        <f>IFERROR(__xludf.DUMMYFUNCTION("iferror(if(isblank($C106),"""",sum(query('Saída'!$A$3:$H$505,""select E where B = 'Fatura' and H ='""&amp;$C106&amp;""' and A = '""&amp;N$102&amp;""'""))),"""")"),"  ")</f>
        <v/>
      </c>
      <c r="O106" s="355" t="str">
        <f>IFERROR(__xludf.DUMMYFUNCTION("iferror(if(isblank($C106),"""",sum(query('Saída'!$A$3:$H$505,""select E where B = 'Fatura' and H ='""&amp;$C106&amp;""' and A = '""&amp;O$102&amp;""'""))),"""")"),"  ")</f>
        <v/>
      </c>
      <c r="P106" s="355"/>
      <c r="Q106" s="355"/>
      <c r="R106" s="355"/>
      <c r="S106" s="355"/>
      <c r="T106" s="355"/>
      <c r="U106" s="355"/>
      <c r="V106" s="355"/>
      <c r="W106" s="355"/>
      <c r="X106" s="355"/>
      <c r="Y106" s="355"/>
      <c r="Z106" s="355"/>
      <c r="AA106" s="356"/>
      <c r="AB106" s="21"/>
      <c r="AC106" s="21"/>
      <c r="AD106" s="21"/>
      <c r="AE106" s="302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</row>
    <row r="107">
      <c r="A107" s="379"/>
      <c r="B107" s="385" t="str">
        <f t="shared" si="12"/>
        <v/>
      </c>
      <c r="C107" s="386"/>
      <c r="D107" s="387" t="str">
        <f>IFERROR(__xludf.DUMMYFUNCTION("iferror(if(isblank($C107),"""",sum(query('Saída'!$A$3:$H$505,""select E where B = 'Fatura' and H ='""&amp;$C107&amp;""' and A = '""&amp;D$102&amp;""'""))),"""")"),"  ")</f>
        <v/>
      </c>
      <c r="E107" s="355" t="str">
        <f>IFERROR(__xludf.DUMMYFUNCTION("iferror(if(isblank($C107),"""",sum(query('Saída'!$A$3:$H$505,""select E where B = 'Fatura' and H ='""&amp;$C107&amp;""' and A = '""&amp;E$102&amp;""'""))),"""")"),"  ")</f>
        <v/>
      </c>
      <c r="F107" s="355" t="str">
        <f>IFERROR(__xludf.DUMMYFUNCTION("iferror(if(isblank($C107),"""",sum(query('Saída'!$A$3:$H$505,""select E where B = 'Fatura' and H ='""&amp;$C107&amp;""' and A = '""&amp;F$102&amp;""'""))),"""")"),"  ")</f>
        <v/>
      </c>
      <c r="G107" s="355" t="str">
        <f>IFERROR(__xludf.DUMMYFUNCTION("iferror(if(isblank($C107),"""",sum(query('Saída'!$A$3:$H$505,""select E where B = 'Fatura' and H ='""&amp;$C107&amp;""' and A = '""&amp;G$102&amp;""'""))),"""")"),"  ")</f>
        <v/>
      </c>
      <c r="H107" s="355" t="str">
        <f>IFERROR(__xludf.DUMMYFUNCTION("iferror(if(isblank($C107),"""",sum(query('Saída'!$A$3:$H$505,""select E where B = 'Fatura' and H ='""&amp;$C107&amp;""' and A = '""&amp;H$102&amp;""'""))),"""")"),"  ")</f>
        <v/>
      </c>
      <c r="I107" s="355" t="str">
        <f>IFERROR(__xludf.DUMMYFUNCTION("iferror(if(isblank($C107),"""",sum(query('Saída'!$A$3:$H$505,""select E where B = 'Fatura' and H ='""&amp;$C107&amp;""' and A = '""&amp;I$102&amp;""'""))),"""")"),"  ")</f>
        <v/>
      </c>
      <c r="J107" s="355" t="str">
        <f>IFERROR(__xludf.DUMMYFUNCTION("iferror(if(isblank($C107),"""",sum(query('Saída'!$A$3:$H$505,""select E where B = 'Fatura' and H ='""&amp;$C107&amp;""' and A = '""&amp;J$102&amp;""'""))),"""")"),"  ")</f>
        <v/>
      </c>
      <c r="K107" s="355" t="str">
        <f>IFERROR(__xludf.DUMMYFUNCTION("iferror(if(isblank($C107),"""",sum(query('Saída'!$A$3:$H$505,""select E where B = 'Fatura' and H ='""&amp;$C107&amp;""' and A = '""&amp;K$102&amp;""'""))),"""")"),"  ")</f>
        <v/>
      </c>
      <c r="L107" s="355" t="str">
        <f>IFERROR(__xludf.DUMMYFUNCTION("iferror(if(isblank($C107),"""",sum(query('Saída'!$A$3:$H$505,""select E where B = 'Fatura' and H ='""&amp;$C107&amp;""' and A = '""&amp;L$102&amp;""'""))),"""")"),"  ")</f>
        <v/>
      </c>
      <c r="M107" s="355" t="str">
        <f>IFERROR(__xludf.DUMMYFUNCTION("iferror(if(isblank($C107),"""",sum(query('Saída'!$A$3:$H$505,""select E where B = 'Fatura' and H ='""&amp;$C107&amp;""' and A = '""&amp;M$102&amp;""'""))),"""")"),"  ")</f>
        <v/>
      </c>
      <c r="N107" s="355" t="str">
        <f>IFERROR(__xludf.DUMMYFUNCTION("iferror(if(isblank($C107),"""",sum(query('Saída'!$A$3:$H$505,""select E where B = 'Fatura' and H ='""&amp;$C107&amp;""' and A = '""&amp;N$102&amp;""'""))),"""")"),"  ")</f>
        <v/>
      </c>
      <c r="O107" s="355" t="str">
        <f>IFERROR(__xludf.DUMMYFUNCTION("iferror(if(isblank($C107),"""",sum(query('Saída'!$A$3:$H$505,""select E where B = 'Fatura' and H ='""&amp;$C107&amp;""' and A = '""&amp;O$102&amp;""'""))),"""")"),"  ")</f>
        <v/>
      </c>
      <c r="P107" s="355"/>
      <c r="Q107" s="355"/>
      <c r="R107" s="355"/>
      <c r="S107" s="355"/>
      <c r="T107" s="355"/>
      <c r="U107" s="355"/>
      <c r="V107" s="355"/>
      <c r="W107" s="355"/>
      <c r="X107" s="355"/>
      <c r="Y107" s="355"/>
      <c r="Z107" s="355"/>
      <c r="AA107" s="356"/>
      <c r="AB107" s="21"/>
      <c r="AC107" s="21"/>
      <c r="AD107" s="21"/>
      <c r="AE107" s="302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</row>
    <row r="108">
      <c r="A108" s="379"/>
      <c r="B108" s="385" t="str">
        <f t="shared" si="12"/>
        <v/>
      </c>
      <c r="C108" s="386"/>
      <c r="D108" s="387" t="str">
        <f>IFERROR(__xludf.DUMMYFUNCTION("iferror(if(isblank($C108),"""",sum(query('Saída'!$A$3:$H$505,""select E where B = 'Fatura' and H ='""&amp;$C108&amp;""' and A = '""&amp;D$102&amp;""'""))),"""")"),"  ")</f>
        <v/>
      </c>
      <c r="E108" s="355" t="str">
        <f>IFERROR(__xludf.DUMMYFUNCTION("iferror(if(isblank($C108),"""",sum(query('Saída'!$A$3:$H$505,""select E where B = 'Fatura' and H ='""&amp;$C108&amp;""' and A = '""&amp;E$102&amp;""'""))),"""")"),"  ")</f>
        <v/>
      </c>
      <c r="F108" s="355" t="str">
        <f>IFERROR(__xludf.DUMMYFUNCTION("iferror(if(isblank($C108),"""",sum(query('Saída'!$A$3:$H$505,""select E where B = 'Fatura' and H ='""&amp;$C108&amp;""' and A = '""&amp;F$102&amp;""'""))),"""")"),"  ")</f>
        <v/>
      </c>
      <c r="G108" s="355" t="str">
        <f>IFERROR(__xludf.DUMMYFUNCTION("iferror(if(isblank($C108),"""",sum(query('Saída'!$A$3:$H$505,""select E where B = 'Fatura' and H ='""&amp;$C108&amp;""' and A = '""&amp;G$102&amp;""'""))),"""")"),"  ")</f>
        <v/>
      </c>
      <c r="H108" s="355" t="str">
        <f>IFERROR(__xludf.DUMMYFUNCTION("iferror(if(isblank($C108),"""",sum(query('Saída'!$A$3:$H$505,""select E where B = 'Fatura' and H ='""&amp;$C108&amp;""' and A = '""&amp;H$102&amp;""'""))),"""")"),"  ")</f>
        <v/>
      </c>
      <c r="I108" s="355" t="str">
        <f>IFERROR(__xludf.DUMMYFUNCTION("iferror(if(isblank($C108),"""",sum(query('Saída'!$A$3:$H$505,""select E where B = 'Fatura' and H ='""&amp;$C108&amp;""' and A = '""&amp;I$102&amp;""'""))),"""")"),"  ")</f>
        <v/>
      </c>
      <c r="J108" s="355" t="str">
        <f>IFERROR(__xludf.DUMMYFUNCTION("iferror(if(isblank($C108),"""",sum(query('Saída'!$A$3:$H$505,""select E where B = 'Fatura' and H ='""&amp;$C108&amp;""' and A = '""&amp;J$102&amp;""'""))),"""")"),"  ")</f>
        <v/>
      </c>
      <c r="K108" s="355" t="str">
        <f>IFERROR(__xludf.DUMMYFUNCTION("iferror(if(isblank($C108),"""",sum(query('Saída'!$A$3:$H$505,""select E where B = 'Fatura' and H ='""&amp;$C108&amp;""' and A = '""&amp;K$102&amp;""'""))),"""")"),"  ")</f>
        <v/>
      </c>
      <c r="L108" s="355" t="str">
        <f>IFERROR(__xludf.DUMMYFUNCTION("iferror(if(isblank($C108),"""",sum(query('Saída'!$A$3:$H$505,""select E where B = 'Fatura' and H ='""&amp;$C108&amp;""' and A = '""&amp;L$102&amp;""'""))),"""")"),"  ")</f>
        <v/>
      </c>
      <c r="M108" s="355" t="str">
        <f>IFERROR(__xludf.DUMMYFUNCTION("iferror(if(isblank($C108),"""",sum(query('Saída'!$A$3:$H$505,""select E where B = 'Fatura' and H ='""&amp;$C108&amp;""' and A = '""&amp;M$102&amp;""'""))),"""")"),"  ")</f>
        <v/>
      </c>
      <c r="N108" s="355" t="str">
        <f>IFERROR(__xludf.DUMMYFUNCTION("iferror(if(isblank($C108),"""",sum(query('Saída'!$A$3:$H$505,""select E where B = 'Fatura' and H ='""&amp;$C108&amp;""' and A = '""&amp;N$102&amp;""'""))),"""")"),"  ")</f>
        <v/>
      </c>
      <c r="O108" s="355" t="str">
        <f>IFERROR(__xludf.DUMMYFUNCTION("iferror(if(isblank($C108),"""",sum(query('Saída'!$A$3:$H$505,""select E where B = 'Fatura' and H ='""&amp;$C108&amp;""' and A = '""&amp;O$102&amp;""'""))),"""")"),"  ")</f>
        <v/>
      </c>
      <c r="P108" s="355"/>
      <c r="Q108" s="355"/>
      <c r="R108" s="355"/>
      <c r="S108" s="355"/>
      <c r="T108" s="355"/>
      <c r="U108" s="355"/>
      <c r="V108" s="355"/>
      <c r="W108" s="355"/>
      <c r="X108" s="355"/>
      <c r="Y108" s="355"/>
      <c r="Z108" s="355"/>
      <c r="AA108" s="356"/>
      <c r="AB108" s="21"/>
      <c r="AC108" s="21"/>
      <c r="AD108" s="21"/>
      <c r="AE108" s="302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</row>
    <row r="109">
      <c r="A109" s="379"/>
      <c r="B109" s="385" t="str">
        <f t="shared" si="12"/>
        <v/>
      </c>
      <c r="C109" s="386"/>
      <c r="D109" s="387" t="str">
        <f>IFERROR(__xludf.DUMMYFUNCTION("iferror(if(isblank($C109),"""",sum(query('Saída'!$A$3:$H$505,""select E where B = 'Fatura' and H ='""&amp;$C109&amp;""' and A = '""&amp;D$102&amp;""'""))),"""")"),"  ")</f>
        <v/>
      </c>
      <c r="E109" s="355" t="str">
        <f>IFERROR(__xludf.DUMMYFUNCTION("iferror(if(isblank($C109),"""",sum(query('Saída'!$A$3:$H$505,""select E where B = 'Fatura' and H ='""&amp;$C109&amp;""' and A = '""&amp;E$102&amp;""'""))),"""")"),"  ")</f>
        <v/>
      </c>
      <c r="F109" s="355" t="str">
        <f>IFERROR(__xludf.DUMMYFUNCTION("iferror(if(isblank($C109),"""",sum(query('Saída'!$A$3:$H$505,""select E where B = 'Fatura' and H ='""&amp;$C109&amp;""' and A = '""&amp;F$102&amp;""'""))),"""")"),"  ")</f>
        <v/>
      </c>
      <c r="G109" s="355" t="str">
        <f>IFERROR(__xludf.DUMMYFUNCTION("iferror(if(isblank($C109),"""",sum(query('Saída'!$A$3:$H$505,""select E where B = 'Fatura' and H ='""&amp;$C109&amp;""' and A = '""&amp;G$102&amp;""'""))),"""")"),"  ")</f>
        <v/>
      </c>
      <c r="H109" s="355" t="str">
        <f>IFERROR(__xludf.DUMMYFUNCTION("iferror(if(isblank($C109),"""",sum(query('Saída'!$A$3:$H$505,""select E where B = 'Fatura' and H ='""&amp;$C109&amp;""' and A = '""&amp;H$102&amp;""'""))),"""")"),"  ")</f>
        <v/>
      </c>
      <c r="I109" s="355" t="str">
        <f>IFERROR(__xludf.DUMMYFUNCTION("iferror(if(isblank($C109),"""",sum(query('Saída'!$A$3:$H$505,""select E where B = 'Fatura' and H ='""&amp;$C109&amp;""' and A = '""&amp;I$102&amp;""'""))),"""")"),"  ")</f>
        <v/>
      </c>
      <c r="J109" s="355" t="str">
        <f>IFERROR(__xludf.DUMMYFUNCTION("iferror(if(isblank($C109),"""",sum(query('Saída'!$A$3:$H$505,""select E where B = 'Fatura' and H ='""&amp;$C109&amp;""' and A = '""&amp;J$102&amp;""'""))),"""")"),"  ")</f>
        <v/>
      </c>
      <c r="K109" s="355" t="str">
        <f>IFERROR(__xludf.DUMMYFUNCTION("iferror(if(isblank($C109),"""",sum(query('Saída'!$A$3:$H$505,""select E where B = 'Fatura' and H ='""&amp;$C109&amp;""' and A = '""&amp;K$102&amp;""'""))),"""")"),"  ")</f>
        <v/>
      </c>
      <c r="L109" s="355" t="str">
        <f>IFERROR(__xludf.DUMMYFUNCTION("iferror(if(isblank($C109),"""",sum(query('Saída'!$A$3:$H$505,""select E where B = 'Fatura' and H ='""&amp;$C109&amp;""' and A = '""&amp;L$102&amp;""'""))),"""")"),"  ")</f>
        <v/>
      </c>
      <c r="M109" s="355" t="str">
        <f>IFERROR(__xludf.DUMMYFUNCTION("iferror(if(isblank($C109),"""",sum(query('Saída'!$A$3:$H$505,""select E where B = 'Fatura' and H ='""&amp;$C109&amp;""' and A = '""&amp;M$102&amp;""'""))),"""")"),"  ")</f>
        <v/>
      </c>
      <c r="N109" s="355" t="str">
        <f>IFERROR(__xludf.DUMMYFUNCTION("iferror(if(isblank($C109),"""",sum(query('Saída'!$A$3:$H$505,""select E where B = 'Fatura' and H ='""&amp;$C109&amp;""' and A = '""&amp;N$102&amp;""'""))),"""")"),"  ")</f>
        <v/>
      </c>
      <c r="O109" s="355" t="str">
        <f>IFERROR(__xludf.DUMMYFUNCTION("iferror(if(isblank($C109),"""",sum(query('Saída'!$A$3:$H$505,""select E where B = 'Fatura' and H ='""&amp;$C109&amp;""' and A = '""&amp;O$102&amp;""'""))),"""")"),"  ")</f>
        <v/>
      </c>
      <c r="P109" s="355"/>
      <c r="Q109" s="355"/>
      <c r="R109" s="355"/>
      <c r="S109" s="355"/>
      <c r="T109" s="355"/>
      <c r="U109" s="355"/>
      <c r="V109" s="355"/>
      <c r="W109" s="355"/>
      <c r="X109" s="355"/>
      <c r="Y109" s="355"/>
      <c r="Z109" s="355"/>
      <c r="AA109" s="356"/>
      <c r="AB109" s="21"/>
      <c r="AC109" s="21"/>
      <c r="AD109" s="21"/>
      <c r="AE109" s="302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</row>
    <row r="110">
      <c r="A110" s="379"/>
      <c r="B110" s="385" t="str">
        <f t="shared" si="12"/>
        <v/>
      </c>
      <c r="C110" s="386"/>
      <c r="D110" s="387" t="str">
        <f>IFERROR(__xludf.DUMMYFUNCTION("iferror(if(isblank($C110),"""",sum(query('Saída'!$A$3:$H$505,""select E where B = 'Fatura' and H ='""&amp;$C110&amp;""' and A = '""&amp;D$102&amp;""'""))),"""")"),"  ")</f>
        <v/>
      </c>
      <c r="E110" s="355" t="str">
        <f>IFERROR(__xludf.DUMMYFUNCTION("iferror(if(isblank($C110),"""",sum(query('Saída'!$A$3:$H$505,""select E where B = 'Fatura' and H ='""&amp;$C110&amp;""' and A = '""&amp;E$102&amp;""'""))),"""")"),"  ")</f>
        <v/>
      </c>
      <c r="F110" s="355" t="str">
        <f>IFERROR(__xludf.DUMMYFUNCTION("iferror(if(isblank($C110),"""",sum(query('Saída'!$A$3:$H$505,""select E where B = 'Fatura' and H ='""&amp;$C110&amp;""' and A = '""&amp;F$102&amp;""'""))),"""")"),"  ")</f>
        <v/>
      </c>
      <c r="G110" s="355" t="str">
        <f>IFERROR(__xludf.DUMMYFUNCTION("iferror(if(isblank($C110),"""",sum(query('Saída'!$A$3:$H$505,""select E where B = 'Fatura' and H ='""&amp;$C110&amp;""' and A = '""&amp;G$102&amp;""'""))),"""")"),"  ")</f>
        <v/>
      </c>
      <c r="H110" s="355" t="str">
        <f>IFERROR(__xludf.DUMMYFUNCTION("iferror(if(isblank($C110),"""",sum(query('Saída'!$A$3:$H$505,""select E where B = 'Fatura' and H ='""&amp;$C110&amp;""' and A = '""&amp;H$102&amp;""'""))),"""")"),"  ")</f>
        <v/>
      </c>
      <c r="I110" s="355" t="str">
        <f>IFERROR(__xludf.DUMMYFUNCTION("iferror(if(isblank($C110),"""",sum(query('Saída'!$A$3:$H$505,""select E where B = 'Fatura' and H ='""&amp;$C110&amp;""' and A = '""&amp;I$102&amp;""'""))),"""")"),"  ")</f>
        <v/>
      </c>
      <c r="J110" s="355" t="str">
        <f>IFERROR(__xludf.DUMMYFUNCTION("iferror(if(isblank($C110),"""",sum(query('Saída'!$A$3:$H$505,""select E where B = 'Fatura' and H ='""&amp;$C110&amp;""' and A = '""&amp;J$102&amp;""'""))),"""")"),"  ")</f>
        <v/>
      </c>
      <c r="K110" s="355" t="str">
        <f>IFERROR(__xludf.DUMMYFUNCTION("iferror(if(isblank($C110),"""",sum(query('Saída'!$A$3:$H$505,""select E where B = 'Fatura' and H ='""&amp;$C110&amp;""' and A = '""&amp;K$102&amp;""'""))),"""")"),"  ")</f>
        <v/>
      </c>
      <c r="L110" s="355" t="str">
        <f>IFERROR(__xludf.DUMMYFUNCTION("iferror(if(isblank($C110),"""",sum(query('Saída'!$A$3:$H$505,""select E where B = 'Fatura' and H ='""&amp;$C110&amp;""' and A = '""&amp;L$102&amp;""'""))),"""")"),"  ")</f>
        <v/>
      </c>
      <c r="M110" s="355" t="str">
        <f>IFERROR(__xludf.DUMMYFUNCTION("iferror(if(isblank($C110),"""",sum(query('Saída'!$A$3:$H$505,""select E where B = 'Fatura' and H ='""&amp;$C110&amp;""' and A = '""&amp;M$102&amp;""'""))),"""")"),"  ")</f>
        <v/>
      </c>
      <c r="N110" s="355" t="str">
        <f>IFERROR(__xludf.DUMMYFUNCTION("iferror(if(isblank($C110),"""",sum(query('Saída'!$A$3:$H$505,""select E where B = 'Fatura' and H ='""&amp;$C110&amp;""' and A = '""&amp;N$102&amp;""'""))),"""")"),"  ")</f>
        <v/>
      </c>
      <c r="O110" s="355" t="str">
        <f>IFERROR(__xludf.DUMMYFUNCTION("iferror(if(isblank($C110),"""",sum(query('Saída'!$A$3:$H$505,""select E where B = 'Fatura' and H ='""&amp;$C110&amp;""' and A = '""&amp;O$102&amp;""'""))),"""")"),"  ")</f>
        <v/>
      </c>
      <c r="P110" s="355"/>
      <c r="Q110" s="355"/>
      <c r="R110" s="355"/>
      <c r="S110" s="355"/>
      <c r="T110" s="355"/>
      <c r="U110" s="355"/>
      <c r="V110" s="355"/>
      <c r="W110" s="355"/>
      <c r="X110" s="355"/>
      <c r="Y110" s="355"/>
      <c r="Z110" s="355"/>
      <c r="AA110" s="356"/>
      <c r="AB110" s="21"/>
      <c r="AC110" s="21"/>
      <c r="AD110" s="21"/>
      <c r="AE110" s="302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</row>
    <row r="111">
      <c r="A111" s="379"/>
      <c r="B111" s="385" t="str">
        <f t="shared" si="12"/>
        <v/>
      </c>
      <c r="C111" s="386"/>
      <c r="D111" s="387" t="str">
        <f>IFERROR(__xludf.DUMMYFUNCTION("iferror(if(isblank($C111),"""",sum(query('Saída'!$A$3:$H$505,""select E where B = 'Fatura' and H ='""&amp;$C111&amp;""' and A = '""&amp;D$102&amp;""'""))),"""")"),"  ")</f>
        <v/>
      </c>
      <c r="E111" s="355" t="str">
        <f>IFERROR(__xludf.DUMMYFUNCTION("iferror(if(isblank($C111),"""",sum(query('Saída'!$A$3:$H$505,""select E where B = 'Fatura' and H ='""&amp;$C111&amp;""' and A = '""&amp;E$102&amp;""'""))),"""")"),"  ")</f>
        <v/>
      </c>
      <c r="F111" s="355" t="str">
        <f>IFERROR(__xludf.DUMMYFUNCTION("iferror(if(isblank($C111),"""",sum(query('Saída'!$A$3:$H$505,""select E where B = 'Fatura' and H ='""&amp;$C111&amp;""' and A = '""&amp;F$102&amp;""'""))),"""")"),"  ")</f>
        <v/>
      </c>
      <c r="G111" s="355" t="str">
        <f>IFERROR(__xludf.DUMMYFUNCTION("iferror(if(isblank($C111),"""",sum(query('Saída'!$A$3:$H$505,""select E where B = 'Fatura' and H ='""&amp;$C111&amp;""' and A = '""&amp;G$102&amp;""'""))),"""")"),"  ")</f>
        <v/>
      </c>
      <c r="H111" s="355" t="str">
        <f>IFERROR(__xludf.DUMMYFUNCTION("iferror(if(isblank($C111),"""",sum(query('Saída'!$A$3:$H$505,""select E where B = 'Fatura' and H ='""&amp;$C111&amp;""' and A = '""&amp;H$102&amp;""'""))),"""")"),"  ")</f>
        <v/>
      </c>
      <c r="I111" s="355" t="str">
        <f>IFERROR(__xludf.DUMMYFUNCTION("iferror(if(isblank($C111),"""",sum(query('Saída'!$A$3:$H$505,""select E where B = 'Fatura' and H ='""&amp;$C111&amp;""' and A = '""&amp;I$102&amp;""'""))),"""")"),"  ")</f>
        <v/>
      </c>
      <c r="J111" s="355" t="str">
        <f>IFERROR(__xludf.DUMMYFUNCTION("iferror(if(isblank($C111),"""",sum(query('Saída'!$A$3:$H$505,""select E where B = 'Fatura' and H ='""&amp;$C111&amp;""' and A = '""&amp;J$102&amp;""'""))),"""")"),"  ")</f>
        <v/>
      </c>
      <c r="K111" s="355" t="str">
        <f>IFERROR(__xludf.DUMMYFUNCTION("iferror(if(isblank($C111),"""",sum(query('Saída'!$A$3:$H$505,""select E where B = 'Fatura' and H ='""&amp;$C111&amp;""' and A = '""&amp;K$102&amp;""'""))),"""")"),"  ")</f>
        <v/>
      </c>
      <c r="L111" s="355" t="str">
        <f>IFERROR(__xludf.DUMMYFUNCTION("iferror(if(isblank($C111),"""",sum(query('Saída'!$A$3:$H$505,""select E where B = 'Fatura' and H ='""&amp;$C111&amp;""' and A = '""&amp;L$102&amp;""'""))),"""")"),"  ")</f>
        <v/>
      </c>
      <c r="M111" s="355" t="str">
        <f>IFERROR(__xludf.DUMMYFUNCTION("iferror(if(isblank($C111),"""",sum(query('Saída'!$A$3:$H$505,""select E where B = 'Fatura' and H ='""&amp;$C111&amp;""' and A = '""&amp;M$102&amp;""'""))),"""")"),"  ")</f>
        <v/>
      </c>
      <c r="N111" s="355" t="str">
        <f>IFERROR(__xludf.DUMMYFUNCTION("iferror(if(isblank($C111),"""",sum(query('Saída'!$A$3:$H$505,""select E where B = 'Fatura' and H ='""&amp;$C111&amp;""' and A = '""&amp;N$102&amp;""'""))),"""")"),"  ")</f>
        <v/>
      </c>
      <c r="O111" s="355" t="str">
        <f>IFERROR(__xludf.DUMMYFUNCTION("iferror(if(isblank($C111),"""",sum(query('Saída'!$A$3:$H$505,""select E where B = 'Fatura' and H ='""&amp;$C111&amp;""' and A = '""&amp;O$102&amp;""'""))),"""")"),"  ")</f>
        <v/>
      </c>
      <c r="P111" s="355"/>
      <c r="Q111" s="355"/>
      <c r="R111" s="355"/>
      <c r="S111" s="355"/>
      <c r="T111" s="355"/>
      <c r="U111" s="355"/>
      <c r="V111" s="355"/>
      <c r="W111" s="355"/>
      <c r="X111" s="355"/>
      <c r="Y111" s="355"/>
      <c r="Z111" s="355"/>
      <c r="AA111" s="356"/>
      <c r="AB111" s="21"/>
      <c r="AC111" s="21"/>
      <c r="AD111" s="21"/>
      <c r="AE111" s="302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</row>
    <row r="112">
      <c r="A112" s="379"/>
      <c r="B112" s="385" t="str">
        <f t="shared" si="12"/>
        <v/>
      </c>
      <c r="C112" s="386"/>
      <c r="D112" s="387" t="str">
        <f>IFERROR(__xludf.DUMMYFUNCTION("iferror(if(isblank($C112),"""",sum(query('Saída'!$A$3:$H$505,""select E where B = 'Fatura' and H ='""&amp;$C112&amp;""' and A = '""&amp;D$102&amp;""'""))),"""")"),"  ")</f>
        <v/>
      </c>
      <c r="E112" s="355" t="str">
        <f>IFERROR(__xludf.DUMMYFUNCTION("iferror(if(isblank($C112),"""",sum(query('Saída'!$A$3:$H$505,""select E where B = 'Fatura' and H ='""&amp;$C112&amp;""' and A = '""&amp;E$102&amp;""'""))),"""")"),"  ")</f>
        <v/>
      </c>
      <c r="F112" s="355" t="str">
        <f>IFERROR(__xludf.DUMMYFUNCTION("iferror(if(isblank($C112),"""",sum(query('Saída'!$A$3:$H$505,""select E where B = 'Fatura' and H ='""&amp;$C112&amp;""' and A = '""&amp;F$102&amp;""'""))),"""")"),"  ")</f>
        <v/>
      </c>
      <c r="G112" s="355" t="str">
        <f>IFERROR(__xludf.DUMMYFUNCTION("iferror(if(isblank($C112),"""",sum(query('Saída'!$A$3:$H$505,""select E where B = 'Fatura' and H ='""&amp;$C112&amp;""' and A = '""&amp;G$102&amp;""'""))),"""")"),"  ")</f>
        <v/>
      </c>
      <c r="H112" s="355" t="str">
        <f>IFERROR(__xludf.DUMMYFUNCTION("iferror(if(isblank($C112),"""",sum(query('Saída'!$A$3:$H$505,""select E where B = 'Fatura' and H ='""&amp;$C112&amp;""' and A = '""&amp;H$102&amp;""'""))),"""")"),"  ")</f>
        <v/>
      </c>
      <c r="I112" s="355" t="str">
        <f>IFERROR(__xludf.DUMMYFUNCTION("iferror(if(isblank($C112),"""",sum(query('Saída'!$A$3:$H$505,""select E where B = 'Fatura' and H ='""&amp;$C112&amp;""' and A = '""&amp;I$102&amp;""'""))),"""")"),"  ")</f>
        <v/>
      </c>
      <c r="J112" s="355" t="str">
        <f>IFERROR(__xludf.DUMMYFUNCTION("iferror(if(isblank($C112),"""",sum(query('Saída'!$A$3:$H$505,""select E where B = 'Fatura' and H ='""&amp;$C112&amp;""' and A = '""&amp;J$102&amp;""'""))),"""")"),"  ")</f>
        <v/>
      </c>
      <c r="K112" s="355" t="str">
        <f>IFERROR(__xludf.DUMMYFUNCTION("iferror(if(isblank($C112),"""",sum(query('Saída'!$A$3:$H$505,""select E where B = 'Fatura' and H ='""&amp;$C112&amp;""' and A = '""&amp;K$102&amp;""'""))),"""")"),"  ")</f>
        <v/>
      </c>
      <c r="L112" s="355" t="str">
        <f>IFERROR(__xludf.DUMMYFUNCTION("iferror(if(isblank($C112),"""",sum(query('Saída'!$A$3:$H$505,""select E where B = 'Fatura' and H ='""&amp;$C112&amp;""' and A = '""&amp;L$102&amp;""'""))),"""")"),"  ")</f>
        <v/>
      </c>
      <c r="M112" s="355" t="str">
        <f>IFERROR(__xludf.DUMMYFUNCTION("iferror(if(isblank($C112),"""",sum(query('Saída'!$A$3:$H$505,""select E where B = 'Fatura' and H ='""&amp;$C112&amp;""' and A = '""&amp;M$102&amp;""'""))),"""")"),"  ")</f>
        <v/>
      </c>
      <c r="N112" s="355" t="str">
        <f>IFERROR(__xludf.DUMMYFUNCTION("iferror(if(isblank($C112),"""",sum(query('Saída'!$A$3:$H$505,""select E where B = 'Fatura' and H ='""&amp;$C112&amp;""' and A = '""&amp;N$102&amp;""'""))),"""")"),"  ")</f>
        <v/>
      </c>
      <c r="O112" s="355" t="str">
        <f>IFERROR(__xludf.DUMMYFUNCTION("iferror(if(isblank($C112),"""",sum(query('Saída'!$A$3:$H$505,""select E where B = 'Fatura' and H ='""&amp;$C112&amp;""' and A = '""&amp;O$102&amp;""'""))),"""")"),"  ")</f>
        <v/>
      </c>
      <c r="P112" s="355"/>
      <c r="Q112" s="355"/>
      <c r="R112" s="355"/>
      <c r="S112" s="355"/>
      <c r="T112" s="355"/>
      <c r="U112" s="355"/>
      <c r="V112" s="355"/>
      <c r="W112" s="355"/>
      <c r="X112" s="355"/>
      <c r="Y112" s="355"/>
      <c r="Z112" s="355"/>
      <c r="AA112" s="356"/>
      <c r="AB112" s="21"/>
      <c r="AC112" s="21"/>
      <c r="AD112" s="21"/>
      <c r="AE112" s="302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</row>
    <row r="113">
      <c r="A113" s="379"/>
      <c r="B113" s="385" t="str">
        <f t="shared" si="12"/>
        <v/>
      </c>
      <c r="C113" s="386"/>
      <c r="D113" s="387" t="str">
        <f>IFERROR(__xludf.DUMMYFUNCTION("iferror(if(isblank($C113),"""",sum(query('Saída'!$A$3:$H$505,""select E where B = 'Fatura' and H ='""&amp;$C113&amp;""' and A = '""&amp;D$102&amp;""'""))),"""")"),"  ")</f>
        <v/>
      </c>
      <c r="E113" s="355" t="str">
        <f>IFERROR(__xludf.DUMMYFUNCTION("iferror(if(isblank($C113),"""",sum(query('Saída'!$A$3:$H$505,""select E where B = 'Fatura' and H ='""&amp;$C113&amp;""' and A = '""&amp;E$102&amp;""'""))),"""")"),"  ")</f>
        <v/>
      </c>
      <c r="F113" s="355" t="str">
        <f>IFERROR(__xludf.DUMMYFUNCTION("iferror(if(isblank($C113),"""",sum(query('Saída'!$A$3:$H$505,""select E where B = 'Fatura' and H ='""&amp;$C113&amp;""' and A = '""&amp;F$102&amp;""'""))),"""")"),"  ")</f>
        <v/>
      </c>
      <c r="G113" s="355" t="str">
        <f>IFERROR(__xludf.DUMMYFUNCTION("iferror(if(isblank($C113),"""",sum(query('Saída'!$A$3:$H$505,""select E where B = 'Fatura' and H ='""&amp;$C113&amp;""' and A = '""&amp;G$102&amp;""'""))),"""")"),"  ")</f>
        <v/>
      </c>
      <c r="H113" s="355" t="str">
        <f>IFERROR(__xludf.DUMMYFUNCTION("iferror(if(isblank($C113),"""",sum(query('Saída'!$A$3:$H$505,""select E where B = 'Fatura' and H ='""&amp;$C113&amp;""' and A = '""&amp;H$102&amp;""'""))),"""")"),"  ")</f>
        <v/>
      </c>
      <c r="I113" s="355" t="str">
        <f>IFERROR(__xludf.DUMMYFUNCTION("iferror(if(isblank($C113),"""",sum(query('Saída'!$A$3:$H$505,""select E where B = 'Fatura' and H ='""&amp;$C113&amp;""' and A = '""&amp;I$102&amp;""'""))),"""")"),"  ")</f>
        <v/>
      </c>
      <c r="J113" s="355" t="str">
        <f>IFERROR(__xludf.DUMMYFUNCTION("iferror(if(isblank($C113),"""",sum(query('Saída'!$A$3:$H$505,""select E where B = 'Fatura' and H ='""&amp;$C113&amp;""' and A = '""&amp;J$102&amp;""'""))),"""")"),"  ")</f>
        <v/>
      </c>
      <c r="K113" s="355" t="str">
        <f>IFERROR(__xludf.DUMMYFUNCTION("iferror(if(isblank($C113),"""",sum(query('Saída'!$A$3:$H$505,""select E where B = 'Fatura' and H ='""&amp;$C113&amp;""' and A = '""&amp;K$102&amp;""'""))),"""")"),"  ")</f>
        <v/>
      </c>
      <c r="L113" s="355" t="str">
        <f>IFERROR(__xludf.DUMMYFUNCTION("iferror(if(isblank($C113),"""",sum(query('Saída'!$A$3:$H$505,""select E where B = 'Fatura' and H ='""&amp;$C113&amp;""' and A = '""&amp;L$102&amp;""'""))),"""")"),"  ")</f>
        <v/>
      </c>
      <c r="M113" s="355" t="str">
        <f>IFERROR(__xludf.DUMMYFUNCTION("iferror(if(isblank($C113),"""",sum(query('Saída'!$A$3:$H$505,""select E where B = 'Fatura' and H ='""&amp;$C113&amp;""' and A = '""&amp;M$102&amp;""'""))),"""")"),"  ")</f>
        <v/>
      </c>
      <c r="N113" s="355" t="str">
        <f>IFERROR(__xludf.DUMMYFUNCTION("iferror(if(isblank($C113),"""",sum(query('Saída'!$A$3:$H$505,""select E where B = 'Fatura' and H ='""&amp;$C113&amp;""' and A = '""&amp;N$102&amp;""'""))),"""")"),"  ")</f>
        <v/>
      </c>
      <c r="O113" s="355" t="str">
        <f>IFERROR(__xludf.DUMMYFUNCTION("iferror(if(isblank($C113),"""",sum(query('Saída'!$A$3:$H$505,""select E where B = 'Fatura' and H ='""&amp;$C113&amp;""' and A = '""&amp;O$102&amp;""'""))),"""")"),"  ")</f>
        <v/>
      </c>
      <c r="P113" s="355"/>
      <c r="Q113" s="355"/>
      <c r="R113" s="355"/>
      <c r="S113" s="355"/>
      <c r="T113" s="355"/>
      <c r="U113" s="355"/>
      <c r="V113" s="355"/>
      <c r="W113" s="355"/>
      <c r="X113" s="355"/>
      <c r="Y113" s="355"/>
      <c r="Z113" s="355"/>
      <c r="AA113" s="356"/>
      <c r="AB113" s="21"/>
      <c r="AC113" s="21"/>
      <c r="AD113" s="21"/>
      <c r="AE113" s="302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</row>
    <row r="114">
      <c r="A114" s="379"/>
      <c r="B114" s="385" t="str">
        <f t="shared" si="12"/>
        <v/>
      </c>
      <c r="C114" s="386"/>
      <c r="D114" s="387" t="str">
        <f>IFERROR(__xludf.DUMMYFUNCTION("iferror(if(isblank($C114),"""",sum(query('Saída'!$A$3:$H$505,""select E where B = 'Fatura' and H ='""&amp;$C114&amp;""' and A = '""&amp;D$102&amp;""'""))),"""")"),"  ")</f>
        <v/>
      </c>
      <c r="E114" s="355" t="str">
        <f>IFERROR(__xludf.DUMMYFUNCTION("iferror(if(isblank($C114),"""",sum(query('Saída'!$A$3:$H$505,""select E where B = 'Fatura' and H ='""&amp;$C114&amp;""' and A = '""&amp;E$102&amp;""'""))),"""")"),"  ")</f>
        <v/>
      </c>
      <c r="F114" s="355" t="str">
        <f>IFERROR(__xludf.DUMMYFUNCTION("iferror(if(isblank($C114),"""",sum(query('Saída'!$A$3:$H$505,""select E where B = 'Fatura' and H ='""&amp;$C114&amp;""' and A = '""&amp;F$102&amp;""'""))),"""")"),"  ")</f>
        <v/>
      </c>
      <c r="G114" s="355" t="str">
        <f>IFERROR(__xludf.DUMMYFUNCTION("iferror(if(isblank($C114),"""",sum(query('Saída'!$A$3:$H$505,""select E where B = 'Fatura' and H ='""&amp;$C114&amp;""' and A = '""&amp;G$102&amp;""'""))),"""")"),"  ")</f>
        <v/>
      </c>
      <c r="H114" s="355" t="str">
        <f>IFERROR(__xludf.DUMMYFUNCTION("iferror(if(isblank($C114),"""",sum(query('Saída'!$A$3:$H$505,""select E where B = 'Fatura' and H ='""&amp;$C114&amp;""' and A = '""&amp;H$102&amp;""'""))),"""")"),"  ")</f>
        <v/>
      </c>
      <c r="I114" s="355" t="str">
        <f>IFERROR(__xludf.DUMMYFUNCTION("iferror(if(isblank($C114),"""",sum(query('Saída'!$A$3:$H$505,""select E where B = 'Fatura' and H ='""&amp;$C114&amp;""' and A = '""&amp;I$102&amp;""'""))),"""")"),"  ")</f>
        <v/>
      </c>
      <c r="J114" s="355" t="str">
        <f>IFERROR(__xludf.DUMMYFUNCTION("iferror(if(isblank($C114),"""",sum(query('Saída'!$A$3:$H$505,""select E where B = 'Fatura' and H ='""&amp;$C114&amp;""' and A = '""&amp;J$102&amp;""'""))),"""")"),"  ")</f>
        <v/>
      </c>
      <c r="K114" s="355" t="str">
        <f>IFERROR(__xludf.DUMMYFUNCTION("iferror(if(isblank($C114),"""",sum(query('Saída'!$A$3:$H$505,""select E where B = 'Fatura' and H ='""&amp;$C114&amp;""' and A = '""&amp;K$102&amp;""'""))),"""")"),"  ")</f>
        <v/>
      </c>
      <c r="L114" s="355" t="str">
        <f>IFERROR(__xludf.DUMMYFUNCTION("iferror(if(isblank($C114),"""",sum(query('Saída'!$A$3:$H$505,""select E where B = 'Fatura' and H ='""&amp;$C114&amp;""' and A = '""&amp;L$102&amp;""'""))),"""")"),"  ")</f>
        <v/>
      </c>
      <c r="M114" s="355" t="str">
        <f>IFERROR(__xludf.DUMMYFUNCTION("iferror(if(isblank($C114),"""",sum(query('Saída'!$A$3:$H$505,""select E where B = 'Fatura' and H ='""&amp;$C114&amp;""' and A = '""&amp;M$102&amp;""'""))),"""")"),"  ")</f>
        <v/>
      </c>
      <c r="N114" s="355" t="str">
        <f>IFERROR(__xludf.DUMMYFUNCTION("iferror(if(isblank($C114),"""",sum(query('Saída'!$A$3:$H$505,""select E where B = 'Fatura' and H ='""&amp;$C114&amp;""' and A = '""&amp;N$102&amp;""'""))),"""")"),"  ")</f>
        <v/>
      </c>
      <c r="O114" s="355" t="str">
        <f>IFERROR(__xludf.DUMMYFUNCTION("iferror(if(isblank($C114),"""",sum(query('Saída'!$A$3:$H$505,""select E where B = 'Fatura' and H ='""&amp;$C114&amp;""' and A = '""&amp;O$102&amp;""'""))),"""")"),"  ")</f>
        <v/>
      </c>
      <c r="P114" s="355"/>
      <c r="Q114" s="355"/>
      <c r="R114" s="355"/>
      <c r="S114" s="355"/>
      <c r="T114" s="355"/>
      <c r="U114" s="355"/>
      <c r="V114" s="355"/>
      <c r="W114" s="355"/>
      <c r="X114" s="355"/>
      <c r="Y114" s="355"/>
      <c r="Z114" s="355"/>
      <c r="AA114" s="356"/>
      <c r="AB114" s="21"/>
      <c r="AC114" s="21"/>
      <c r="AD114" s="21"/>
      <c r="AE114" s="302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</row>
    <row r="115">
      <c r="A115" s="379"/>
      <c r="B115" s="385" t="str">
        <f t="shared" si="12"/>
        <v/>
      </c>
      <c r="C115" s="386"/>
      <c r="D115" s="387" t="str">
        <f>IFERROR(__xludf.DUMMYFUNCTION("iferror(if(isblank($C115),"""",sum(query('Saída'!$A$3:$H$505,""select E where B = 'Fatura' and H ='""&amp;$C115&amp;""' and A = '""&amp;D$102&amp;""'""))),"""")"),"  ")</f>
        <v/>
      </c>
      <c r="E115" s="355" t="str">
        <f>IFERROR(__xludf.DUMMYFUNCTION("iferror(if(isblank($C115),"""",sum(query('Saída'!$A$3:$H$505,""select E where B = 'Fatura' and H ='""&amp;$C115&amp;""' and A = '""&amp;E$102&amp;""'""))),"""")"),"  ")</f>
        <v/>
      </c>
      <c r="F115" s="355" t="str">
        <f>IFERROR(__xludf.DUMMYFUNCTION("iferror(if(isblank($C115),"""",sum(query('Saída'!$A$3:$H$505,""select E where B = 'Fatura' and H ='""&amp;$C115&amp;""' and A = '""&amp;F$102&amp;""'""))),"""")"),"  ")</f>
        <v/>
      </c>
      <c r="G115" s="355" t="str">
        <f>IFERROR(__xludf.DUMMYFUNCTION("iferror(if(isblank($C115),"""",sum(query('Saída'!$A$3:$H$505,""select E where B = 'Fatura' and H ='""&amp;$C115&amp;""' and A = '""&amp;G$102&amp;""'""))),"""")"),"  ")</f>
        <v/>
      </c>
      <c r="H115" s="355" t="str">
        <f>IFERROR(__xludf.DUMMYFUNCTION("iferror(if(isblank($C115),"""",sum(query('Saída'!$A$3:$H$505,""select E where B = 'Fatura' and H ='""&amp;$C115&amp;""' and A = '""&amp;H$102&amp;""'""))),"""")"),"  ")</f>
        <v/>
      </c>
      <c r="I115" s="355" t="str">
        <f>IFERROR(__xludf.DUMMYFUNCTION("iferror(if(isblank($C115),"""",sum(query('Saída'!$A$3:$H$505,""select E where B = 'Fatura' and H ='""&amp;$C115&amp;""' and A = '""&amp;I$102&amp;""'""))),"""")"),"  ")</f>
        <v/>
      </c>
      <c r="J115" s="355" t="str">
        <f>IFERROR(__xludf.DUMMYFUNCTION("iferror(if(isblank($C115),"""",sum(query('Saída'!$A$3:$H$505,""select E where B = 'Fatura' and H ='""&amp;$C115&amp;""' and A = '""&amp;J$102&amp;""'""))),"""")"),"  ")</f>
        <v/>
      </c>
      <c r="K115" s="355" t="str">
        <f>IFERROR(__xludf.DUMMYFUNCTION("iferror(if(isblank($C115),"""",sum(query('Saída'!$A$3:$H$505,""select E where B = 'Fatura' and H ='""&amp;$C115&amp;""' and A = '""&amp;K$102&amp;""'""))),"""")"),"  ")</f>
        <v/>
      </c>
      <c r="L115" s="355" t="str">
        <f>IFERROR(__xludf.DUMMYFUNCTION("iferror(if(isblank($C115),"""",sum(query('Saída'!$A$3:$H$505,""select E where B = 'Fatura' and H ='""&amp;$C115&amp;""' and A = '""&amp;L$102&amp;""'""))),"""")"),"  ")</f>
        <v/>
      </c>
      <c r="M115" s="355" t="str">
        <f>IFERROR(__xludf.DUMMYFUNCTION("iferror(if(isblank($C115),"""",sum(query('Saída'!$A$3:$H$505,""select E where B = 'Fatura' and H ='""&amp;$C115&amp;""' and A = '""&amp;M$102&amp;""'""))),"""")"),"  ")</f>
        <v/>
      </c>
      <c r="N115" s="355" t="str">
        <f>IFERROR(__xludf.DUMMYFUNCTION("iferror(if(isblank($C115),"""",sum(query('Saída'!$A$3:$H$505,""select E where B = 'Fatura' and H ='""&amp;$C115&amp;""' and A = '""&amp;N$102&amp;""'""))),"""")"),"  ")</f>
        <v/>
      </c>
      <c r="O115" s="355" t="str">
        <f>IFERROR(__xludf.DUMMYFUNCTION("iferror(if(isblank($C115),"""",sum(query('Saída'!$A$3:$H$505,""select E where B = 'Fatura' and H ='""&amp;$C115&amp;""' and A = '""&amp;O$102&amp;""'""))),"""")"),"  ")</f>
        <v/>
      </c>
      <c r="P115" s="355"/>
      <c r="Q115" s="355"/>
      <c r="R115" s="355"/>
      <c r="S115" s="355"/>
      <c r="T115" s="355"/>
      <c r="U115" s="355"/>
      <c r="V115" s="355"/>
      <c r="W115" s="355"/>
      <c r="X115" s="355"/>
      <c r="Y115" s="355"/>
      <c r="Z115" s="355"/>
      <c r="AA115" s="356"/>
      <c r="AB115" s="21"/>
      <c r="AC115" s="21"/>
      <c r="AD115" s="21"/>
      <c r="AE115" s="302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</row>
    <row r="116">
      <c r="A116" s="379"/>
      <c r="B116" s="385" t="str">
        <f t="shared" si="12"/>
        <v/>
      </c>
      <c r="C116" s="386"/>
      <c r="D116" s="387" t="str">
        <f>IFERROR(__xludf.DUMMYFUNCTION("iferror(if(isblank($C116),"""",sum(query('Saída'!$A$3:$H$505,""select E where B = 'Fatura' and H ='""&amp;$C116&amp;""' and A = '""&amp;D$102&amp;""'""))),"""")"),"  ")</f>
        <v/>
      </c>
      <c r="E116" s="355" t="str">
        <f>IFERROR(__xludf.DUMMYFUNCTION("iferror(if(isblank($C116),"""",sum(query('Saída'!$A$3:$H$505,""select E where B = 'Fatura' and H ='""&amp;$C116&amp;""' and A = '""&amp;E$102&amp;""'""))),"""")"),"  ")</f>
        <v/>
      </c>
      <c r="F116" s="355" t="str">
        <f>IFERROR(__xludf.DUMMYFUNCTION("iferror(if(isblank($C116),"""",sum(query('Saída'!$A$3:$H$505,""select E where B = 'Fatura' and H ='""&amp;$C116&amp;""' and A = '""&amp;F$102&amp;""'""))),"""")"),"  ")</f>
        <v/>
      </c>
      <c r="G116" s="355" t="str">
        <f>IFERROR(__xludf.DUMMYFUNCTION("iferror(if(isblank($C116),"""",sum(query('Saída'!$A$3:$H$505,""select E where B = 'Fatura' and H ='""&amp;$C116&amp;""' and A = '""&amp;G$102&amp;""'""))),"""")"),"  ")</f>
        <v/>
      </c>
      <c r="H116" s="355" t="str">
        <f>IFERROR(__xludf.DUMMYFUNCTION("iferror(if(isblank($C116),"""",sum(query('Saída'!$A$3:$H$505,""select E where B = 'Fatura' and H ='""&amp;$C116&amp;""' and A = '""&amp;H$102&amp;""'""))),"""")"),"  ")</f>
        <v/>
      </c>
      <c r="I116" s="355" t="str">
        <f>IFERROR(__xludf.DUMMYFUNCTION("iferror(if(isblank($C116),"""",sum(query('Saída'!$A$3:$H$505,""select E where B = 'Fatura' and H ='""&amp;$C116&amp;""' and A = '""&amp;I$102&amp;""'""))),"""")"),"  ")</f>
        <v/>
      </c>
      <c r="J116" s="355" t="str">
        <f>IFERROR(__xludf.DUMMYFUNCTION("iferror(if(isblank($C116),"""",sum(query('Saída'!$A$3:$H$505,""select E where B = 'Fatura' and H ='""&amp;$C116&amp;""' and A = '""&amp;J$102&amp;""'""))),"""")"),"  ")</f>
        <v/>
      </c>
      <c r="K116" s="355" t="str">
        <f>IFERROR(__xludf.DUMMYFUNCTION("iferror(if(isblank($C116),"""",sum(query('Saída'!$A$3:$H$505,""select E where B = 'Fatura' and H ='""&amp;$C116&amp;""' and A = '""&amp;K$102&amp;""'""))),"""")"),"  ")</f>
        <v/>
      </c>
      <c r="L116" s="355" t="str">
        <f>IFERROR(__xludf.DUMMYFUNCTION("iferror(if(isblank($C116),"""",sum(query('Saída'!$A$3:$H$505,""select E where B = 'Fatura' and H ='""&amp;$C116&amp;""' and A = '""&amp;L$102&amp;""'""))),"""")"),"  ")</f>
        <v/>
      </c>
      <c r="M116" s="355" t="str">
        <f>IFERROR(__xludf.DUMMYFUNCTION("iferror(if(isblank($C116),"""",sum(query('Saída'!$A$3:$H$505,""select E where B = 'Fatura' and H ='""&amp;$C116&amp;""' and A = '""&amp;M$102&amp;""'""))),"""")"),"  ")</f>
        <v/>
      </c>
      <c r="N116" s="355" t="str">
        <f>IFERROR(__xludf.DUMMYFUNCTION("iferror(if(isblank($C116),"""",sum(query('Saída'!$A$3:$H$505,""select E where B = 'Fatura' and H ='""&amp;$C116&amp;""' and A = '""&amp;N$102&amp;""'""))),"""")"),"  ")</f>
        <v/>
      </c>
      <c r="O116" s="355" t="str">
        <f>IFERROR(__xludf.DUMMYFUNCTION("iferror(if(isblank($C116),"""",sum(query('Saída'!$A$3:$H$505,""select E where B = 'Fatura' and H ='""&amp;$C116&amp;""' and A = '""&amp;O$102&amp;""'""))),"""")"),"  ")</f>
        <v/>
      </c>
      <c r="P116" s="355"/>
      <c r="Q116" s="355"/>
      <c r="R116" s="355"/>
      <c r="S116" s="355"/>
      <c r="T116" s="355"/>
      <c r="U116" s="355"/>
      <c r="V116" s="355"/>
      <c r="W116" s="355"/>
      <c r="X116" s="355"/>
      <c r="Y116" s="355"/>
      <c r="Z116" s="355"/>
      <c r="AA116" s="356"/>
      <c r="AB116" s="21"/>
      <c r="AC116" s="21"/>
      <c r="AD116" s="21"/>
      <c r="AE116" s="302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</row>
    <row r="117">
      <c r="A117" s="379"/>
      <c r="B117" s="385" t="str">
        <f t="shared" si="12"/>
        <v/>
      </c>
      <c r="C117" s="386"/>
      <c r="D117" s="387" t="str">
        <f>IFERROR(__xludf.DUMMYFUNCTION("iferror(if(isblank($C117),"""",sum(query('Saída'!$A$3:$H$505,""select E where B = 'Fatura' and H ='""&amp;$C117&amp;""' and A = '""&amp;D$102&amp;""'""))),"""")"),"  ")</f>
        <v/>
      </c>
      <c r="E117" s="355" t="str">
        <f>IFERROR(__xludf.DUMMYFUNCTION("iferror(if(isblank($C117),"""",sum(query('Saída'!$A$3:$H$505,""select E where B = 'Fatura' and H ='""&amp;$C117&amp;""' and A = '""&amp;E$102&amp;""'""))),"""")"),"  ")</f>
        <v/>
      </c>
      <c r="F117" s="355" t="str">
        <f>IFERROR(__xludf.DUMMYFUNCTION("iferror(if(isblank($C117),"""",sum(query('Saída'!$A$3:$H$505,""select E where B = 'Fatura' and H ='""&amp;$C117&amp;""' and A = '""&amp;F$102&amp;""'""))),"""")"),"  ")</f>
        <v/>
      </c>
      <c r="G117" s="355" t="str">
        <f>IFERROR(__xludf.DUMMYFUNCTION("iferror(if(isblank($C117),"""",sum(query('Saída'!$A$3:$H$505,""select E where B = 'Fatura' and H ='""&amp;$C117&amp;""' and A = '""&amp;G$102&amp;""'""))),"""")"),"  ")</f>
        <v/>
      </c>
      <c r="H117" s="355" t="str">
        <f>IFERROR(__xludf.DUMMYFUNCTION("iferror(if(isblank($C117),"""",sum(query('Saída'!$A$3:$H$505,""select E where B = 'Fatura' and H ='""&amp;$C117&amp;""' and A = '""&amp;H$102&amp;""'""))),"""")"),"  ")</f>
        <v/>
      </c>
      <c r="I117" s="355" t="str">
        <f>IFERROR(__xludf.DUMMYFUNCTION("iferror(if(isblank($C117),"""",sum(query('Saída'!$A$3:$H$505,""select E where B = 'Fatura' and H ='""&amp;$C117&amp;""' and A = '""&amp;I$102&amp;""'""))),"""")"),"  ")</f>
        <v/>
      </c>
      <c r="J117" s="355" t="str">
        <f>IFERROR(__xludf.DUMMYFUNCTION("iferror(if(isblank($C117),"""",sum(query('Saída'!$A$3:$H$505,""select E where B = 'Fatura' and H ='""&amp;$C117&amp;""' and A = '""&amp;J$102&amp;""'""))),"""")"),"  ")</f>
        <v/>
      </c>
      <c r="K117" s="355" t="str">
        <f>IFERROR(__xludf.DUMMYFUNCTION("iferror(if(isblank($C117),"""",sum(query('Saída'!$A$3:$H$505,""select E where B = 'Fatura' and H ='""&amp;$C117&amp;""' and A = '""&amp;K$102&amp;""'""))),"""")"),"  ")</f>
        <v/>
      </c>
      <c r="L117" s="355" t="str">
        <f>IFERROR(__xludf.DUMMYFUNCTION("iferror(if(isblank($C117),"""",sum(query('Saída'!$A$3:$H$505,""select E where B = 'Fatura' and H ='""&amp;$C117&amp;""' and A = '""&amp;L$102&amp;""'""))),"""")"),"  ")</f>
        <v/>
      </c>
      <c r="M117" s="355" t="str">
        <f>IFERROR(__xludf.DUMMYFUNCTION("iferror(if(isblank($C117),"""",sum(query('Saída'!$A$3:$H$505,""select E where B = 'Fatura' and H ='""&amp;$C117&amp;""' and A = '""&amp;M$102&amp;""'""))),"""")"),"  ")</f>
        <v/>
      </c>
      <c r="N117" s="355" t="str">
        <f>IFERROR(__xludf.DUMMYFUNCTION("iferror(if(isblank($C117),"""",sum(query('Saída'!$A$3:$H$505,""select E where B = 'Fatura' and H ='""&amp;$C117&amp;""' and A = '""&amp;N$102&amp;""'""))),"""")"),"  ")</f>
        <v/>
      </c>
      <c r="O117" s="355" t="str">
        <f>IFERROR(__xludf.DUMMYFUNCTION("iferror(if(isblank($C117),"""",sum(query('Saída'!$A$3:$H$505,""select E where B = 'Fatura' and H ='""&amp;$C117&amp;""' and A = '""&amp;O$102&amp;""'""))),"""")"),"  ")</f>
        <v/>
      </c>
      <c r="P117" s="355"/>
      <c r="Q117" s="355"/>
      <c r="R117" s="355"/>
      <c r="S117" s="355"/>
      <c r="T117" s="355"/>
      <c r="U117" s="355"/>
      <c r="V117" s="355"/>
      <c r="W117" s="355"/>
      <c r="X117" s="355"/>
      <c r="Y117" s="355"/>
      <c r="Z117" s="355"/>
      <c r="AA117" s="356"/>
      <c r="AB117" s="21"/>
      <c r="AC117" s="21"/>
      <c r="AD117" s="21"/>
      <c r="AE117" s="302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</row>
    <row r="118">
      <c r="A118" s="379"/>
      <c r="B118" s="385" t="str">
        <f t="shared" si="12"/>
        <v/>
      </c>
      <c r="C118" s="386"/>
      <c r="D118" s="387" t="str">
        <f>IFERROR(__xludf.DUMMYFUNCTION("iferror(if(isblank($C118),"""",sum(query('Saída'!$A$3:$H$505,""select E where B = 'Fatura' and H ='""&amp;$C118&amp;""' and A = '""&amp;D$102&amp;""'""))),"""")"),"  ")</f>
        <v/>
      </c>
      <c r="E118" s="355" t="str">
        <f>IFERROR(__xludf.DUMMYFUNCTION("iferror(if(isblank($C118),"""",sum(query('Saída'!$A$3:$H$505,""select E where B = 'Fatura' and H ='""&amp;$C118&amp;""' and A = '""&amp;E$102&amp;""'""))),"""")"),"  ")</f>
        <v/>
      </c>
      <c r="F118" s="355" t="str">
        <f>IFERROR(__xludf.DUMMYFUNCTION("iferror(if(isblank($C118),"""",sum(query('Saída'!$A$3:$H$505,""select E where B = 'Fatura' and H ='""&amp;$C118&amp;""' and A = '""&amp;F$102&amp;""'""))),"""")"),"  ")</f>
        <v/>
      </c>
      <c r="G118" s="355" t="str">
        <f>IFERROR(__xludf.DUMMYFUNCTION("iferror(if(isblank($C118),"""",sum(query('Saída'!$A$3:$H$505,""select E where B = 'Fatura' and H ='""&amp;$C118&amp;""' and A = '""&amp;G$102&amp;""'""))),"""")"),"  ")</f>
        <v/>
      </c>
      <c r="H118" s="355" t="str">
        <f>IFERROR(__xludf.DUMMYFUNCTION("iferror(if(isblank($C118),"""",sum(query('Saída'!$A$3:$H$505,""select E where B = 'Fatura' and H ='""&amp;$C118&amp;""' and A = '""&amp;H$102&amp;""'""))),"""")"),"  ")</f>
        <v/>
      </c>
      <c r="I118" s="355" t="str">
        <f>IFERROR(__xludf.DUMMYFUNCTION("iferror(if(isblank($C118),"""",sum(query('Saída'!$A$3:$H$505,""select E where B = 'Fatura' and H ='""&amp;$C118&amp;""' and A = '""&amp;I$102&amp;""'""))),"""")"),"  ")</f>
        <v/>
      </c>
      <c r="J118" s="355" t="str">
        <f>IFERROR(__xludf.DUMMYFUNCTION("iferror(if(isblank($C118),"""",sum(query('Saída'!$A$3:$H$505,""select E where B = 'Fatura' and H ='""&amp;$C118&amp;""' and A = '""&amp;J$102&amp;""'""))),"""")"),"  ")</f>
        <v/>
      </c>
      <c r="K118" s="355" t="str">
        <f>IFERROR(__xludf.DUMMYFUNCTION("iferror(if(isblank($C118),"""",sum(query('Saída'!$A$3:$H$505,""select E where B = 'Fatura' and H ='""&amp;$C118&amp;""' and A = '""&amp;K$102&amp;""'""))),"""")"),"  ")</f>
        <v/>
      </c>
      <c r="L118" s="355" t="str">
        <f>IFERROR(__xludf.DUMMYFUNCTION("iferror(if(isblank($C118),"""",sum(query('Saída'!$A$3:$H$505,""select E where B = 'Fatura' and H ='""&amp;$C118&amp;""' and A = '""&amp;L$102&amp;""'""))),"""")"),"  ")</f>
        <v/>
      </c>
      <c r="M118" s="355" t="str">
        <f>IFERROR(__xludf.DUMMYFUNCTION("iferror(if(isblank($C118),"""",sum(query('Saída'!$A$3:$H$505,""select E where B = 'Fatura' and H ='""&amp;$C118&amp;""' and A = '""&amp;M$102&amp;""'""))),"""")"),"  ")</f>
        <v/>
      </c>
      <c r="N118" s="355" t="str">
        <f>IFERROR(__xludf.DUMMYFUNCTION("iferror(if(isblank($C118),"""",sum(query('Saída'!$A$3:$H$505,""select E where B = 'Fatura' and H ='""&amp;$C118&amp;""' and A = '""&amp;N$102&amp;""'""))),"""")"),"  ")</f>
        <v/>
      </c>
      <c r="O118" s="355" t="str">
        <f>IFERROR(__xludf.DUMMYFUNCTION("iferror(if(isblank($C118),"""",sum(query('Saída'!$A$3:$H$505,""select E where B = 'Fatura' and H ='""&amp;$C118&amp;""' and A = '""&amp;O$102&amp;""'""))),"""")"),"  ")</f>
        <v/>
      </c>
      <c r="P118" s="355"/>
      <c r="Q118" s="355"/>
      <c r="R118" s="355"/>
      <c r="S118" s="355"/>
      <c r="T118" s="355"/>
      <c r="U118" s="355"/>
      <c r="V118" s="355"/>
      <c r="W118" s="355"/>
      <c r="X118" s="355"/>
      <c r="Y118" s="355"/>
      <c r="Z118" s="355"/>
      <c r="AA118" s="356"/>
      <c r="AB118" s="21"/>
      <c r="AC118" s="21"/>
      <c r="AD118" s="21"/>
      <c r="AE118" s="302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</row>
    <row r="119">
      <c r="A119" s="379"/>
      <c r="B119" s="385" t="str">
        <f t="shared" si="12"/>
        <v/>
      </c>
      <c r="C119" s="386"/>
      <c r="D119" s="387" t="str">
        <f>IFERROR(__xludf.DUMMYFUNCTION("iferror(if(isblank($C119),"""",sum(query('Saída'!$A$3:$H$505,""select E where B = 'Fatura' and H ='""&amp;$C119&amp;""' and A = '""&amp;D$102&amp;""'""))),"""")"),"  ")</f>
        <v/>
      </c>
      <c r="E119" s="355" t="str">
        <f>IFERROR(__xludf.DUMMYFUNCTION("iferror(if(isblank($C119),"""",sum(query('Saída'!$A$3:$H$505,""select E where B = 'Fatura' and H ='""&amp;$C119&amp;""' and A = '""&amp;E$102&amp;""'""))),"""")"),"  ")</f>
        <v/>
      </c>
      <c r="F119" s="355" t="str">
        <f>IFERROR(__xludf.DUMMYFUNCTION("iferror(if(isblank($C119),"""",sum(query('Saída'!$A$3:$H$505,""select E where B = 'Fatura' and H ='""&amp;$C119&amp;""' and A = '""&amp;F$102&amp;""'""))),"""")"),"  ")</f>
        <v/>
      </c>
      <c r="G119" s="355" t="str">
        <f>IFERROR(__xludf.DUMMYFUNCTION("iferror(if(isblank($C119),"""",sum(query('Saída'!$A$3:$H$505,""select E where B = 'Fatura' and H ='""&amp;$C119&amp;""' and A = '""&amp;G$102&amp;""'""))),"""")"),"  ")</f>
        <v/>
      </c>
      <c r="H119" s="355" t="str">
        <f>IFERROR(__xludf.DUMMYFUNCTION("iferror(if(isblank($C119),"""",sum(query('Saída'!$A$3:$H$505,""select E where B = 'Fatura' and H ='""&amp;$C119&amp;""' and A = '""&amp;H$102&amp;""'""))),"""")"),"  ")</f>
        <v/>
      </c>
      <c r="I119" s="355" t="str">
        <f>IFERROR(__xludf.DUMMYFUNCTION("iferror(if(isblank($C119),"""",sum(query('Saída'!$A$3:$H$505,""select E where B = 'Fatura' and H ='""&amp;$C119&amp;""' and A = '""&amp;I$102&amp;""'""))),"""")"),"  ")</f>
        <v/>
      </c>
      <c r="J119" s="355" t="str">
        <f>IFERROR(__xludf.DUMMYFUNCTION("iferror(if(isblank($C119),"""",sum(query('Saída'!$A$3:$H$505,""select E where B = 'Fatura' and H ='""&amp;$C119&amp;""' and A = '""&amp;J$102&amp;""'""))),"""")"),"  ")</f>
        <v/>
      </c>
      <c r="K119" s="355" t="str">
        <f>IFERROR(__xludf.DUMMYFUNCTION("iferror(if(isblank($C119),"""",sum(query('Saída'!$A$3:$H$505,""select E where B = 'Fatura' and H ='""&amp;$C119&amp;""' and A = '""&amp;K$102&amp;""'""))),"""")"),"  ")</f>
        <v/>
      </c>
      <c r="L119" s="355" t="str">
        <f>IFERROR(__xludf.DUMMYFUNCTION("iferror(if(isblank($C119),"""",sum(query('Saída'!$A$3:$H$505,""select E where B = 'Fatura' and H ='""&amp;$C119&amp;""' and A = '""&amp;L$102&amp;""'""))),"""")"),"  ")</f>
        <v/>
      </c>
      <c r="M119" s="355" t="str">
        <f>IFERROR(__xludf.DUMMYFUNCTION("iferror(if(isblank($C119),"""",sum(query('Saída'!$A$3:$H$505,""select E where B = 'Fatura' and H ='""&amp;$C119&amp;""' and A = '""&amp;M$102&amp;""'""))),"""")"),"  ")</f>
        <v/>
      </c>
      <c r="N119" s="355" t="str">
        <f>IFERROR(__xludf.DUMMYFUNCTION("iferror(if(isblank($C119),"""",sum(query('Saída'!$A$3:$H$505,""select E where B = 'Fatura' and H ='""&amp;$C119&amp;""' and A = '""&amp;N$102&amp;""'""))),"""")"),"  ")</f>
        <v/>
      </c>
      <c r="O119" s="355" t="str">
        <f>IFERROR(__xludf.DUMMYFUNCTION("iferror(if(isblank($C119),"""",sum(query('Saída'!$A$3:$H$505,""select E where B = 'Fatura' and H ='""&amp;$C119&amp;""' and A = '""&amp;O$102&amp;""'""))),"""")"),"  ")</f>
        <v/>
      </c>
      <c r="P119" s="355"/>
      <c r="Q119" s="355"/>
      <c r="R119" s="355"/>
      <c r="S119" s="355"/>
      <c r="T119" s="355"/>
      <c r="U119" s="355"/>
      <c r="V119" s="355"/>
      <c r="W119" s="355"/>
      <c r="X119" s="355"/>
      <c r="Y119" s="355"/>
      <c r="Z119" s="355"/>
      <c r="AA119" s="356"/>
      <c r="AB119" s="21"/>
      <c r="AC119" s="21"/>
      <c r="AD119" s="21"/>
      <c r="AE119" s="302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</row>
    <row r="120">
      <c r="A120" s="379"/>
      <c r="B120" s="385" t="str">
        <f t="shared" si="12"/>
        <v/>
      </c>
      <c r="C120" s="386"/>
      <c r="D120" s="387" t="str">
        <f>IFERROR(__xludf.DUMMYFUNCTION("iferror(if(isblank($C120),"""",sum(query('Saída'!$A$3:$H$505,""select E where B = 'Fatura' and H ='""&amp;$C120&amp;""' and A = '""&amp;D$102&amp;""'""))),"""")"),"  ")</f>
        <v/>
      </c>
      <c r="E120" s="355" t="str">
        <f>IFERROR(__xludf.DUMMYFUNCTION("iferror(if(isblank($C120),"""",sum(query('Saída'!$A$3:$H$505,""select E where B = 'Fatura' and H ='""&amp;$C120&amp;""' and A = '""&amp;E$102&amp;""'""))),"""")"),"  ")</f>
        <v/>
      </c>
      <c r="F120" s="355" t="str">
        <f>IFERROR(__xludf.DUMMYFUNCTION("iferror(if(isblank($C120),"""",sum(query('Saída'!$A$3:$H$505,""select E where B = 'Fatura' and H ='""&amp;$C120&amp;""' and A = '""&amp;F$102&amp;""'""))),"""")"),"  ")</f>
        <v/>
      </c>
      <c r="G120" s="355" t="str">
        <f>IFERROR(__xludf.DUMMYFUNCTION("iferror(if(isblank($C120),"""",sum(query('Saída'!$A$3:$H$505,""select E where B = 'Fatura' and H ='""&amp;$C120&amp;""' and A = '""&amp;G$102&amp;""'""))),"""")"),"  ")</f>
        <v/>
      </c>
      <c r="H120" s="355" t="str">
        <f>IFERROR(__xludf.DUMMYFUNCTION("iferror(if(isblank($C120),"""",sum(query('Saída'!$A$3:$H$505,""select E where B = 'Fatura' and H ='""&amp;$C120&amp;""' and A = '""&amp;H$102&amp;""'""))),"""")"),"  ")</f>
        <v/>
      </c>
      <c r="I120" s="355" t="str">
        <f>IFERROR(__xludf.DUMMYFUNCTION("iferror(if(isblank($C120),"""",sum(query('Saída'!$A$3:$H$505,""select E where B = 'Fatura' and H ='""&amp;$C120&amp;""' and A = '""&amp;I$102&amp;""'""))),"""")"),"  ")</f>
        <v/>
      </c>
      <c r="J120" s="355" t="str">
        <f>IFERROR(__xludf.DUMMYFUNCTION("iferror(if(isblank($C120),"""",sum(query('Saída'!$A$3:$H$505,""select E where B = 'Fatura' and H ='""&amp;$C120&amp;""' and A = '""&amp;J$102&amp;""'""))),"""")"),"  ")</f>
        <v/>
      </c>
      <c r="K120" s="355" t="str">
        <f>IFERROR(__xludf.DUMMYFUNCTION("iferror(if(isblank($C120),"""",sum(query('Saída'!$A$3:$H$505,""select E where B = 'Fatura' and H ='""&amp;$C120&amp;""' and A = '""&amp;K$102&amp;""'""))),"""")"),"  ")</f>
        <v/>
      </c>
      <c r="L120" s="355" t="str">
        <f>IFERROR(__xludf.DUMMYFUNCTION("iferror(if(isblank($C120),"""",sum(query('Saída'!$A$3:$H$505,""select E where B = 'Fatura' and H ='""&amp;$C120&amp;""' and A = '""&amp;L$102&amp;""'""))),"""")"),"  ")</f>
        <v/>
      </c>
      <c r="M120" s="355" t="str">
        <f>IFERROR(__xludf.DUMMYFUNCTION("iferror(if(isblank($C120),"""",sum(query('Saída'!$A$3:$H$505,""select E where B = 'Fatura' and H ='""&amp;$C120&amp;""' and A = '""&amp;M$102&amp;""'""))),"""")"),"  ")</f>
        <v/>
      </c>
      <c r="N120" s="355" t="str">
        <f>IFERROR(__xludf.DUMMYFUNCTION("iferror(if(isblank($C120),"""",sum(query('Saída'!$A$3:$H$505,""select E where B = 'Fatura' and H ='""&amp;$C120&amp;""' and A = '""&amp;N$102&amp;""'""))),"""")"),"  ")</f>
        <v/>
      </c>
      <c r="O120" s="355" t="str">
        <f>IFERROR(__xludf.DUMMYFUNCTION("iferror(if(isblank($C120),"""",sum(query('Saída'!$A$3:$H$505,""select E where B = 'Fatura' and H ='""&amp;$C120&amp;""' and A = '""&amp;O$102&amp;""'""))),"""")"),"  ")</f>
        <v/>
      </c>
      <c r="P120" s="355"/>
      <c r="Q120" s="355"/>
      <c r="R120" s="355"/>
      <c r="S120" s="355"/>
      <c r="T120" s="355"/>
      <c r="U120" s="355"/>
      <c r="V120" s="355"/>
      <c r="W120" s="355"/>
      <c r="X120" s="355"/>
      <c r="Y120" s="355"/>
      <c r="Z120" s="355"/>
      <c r="AA120" s="356"/>
      <c r="AB120" s="21"/>
      <c r="AC120" s="21"/>
      <c r="AD120" s="21"/>
      <c r="AE120" s="302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</row>
    <row r="121">
      <c r="A121" s="379"/>
      <c r="B121" s="385" t="str">
        <f t="shared" si="12"/>
        <v/>
      </c>
      <c r="C121" s="386"/>
      <c r="D121" s="387" t="str">
        <f>IFERROR(__xludf.DUMMYFUNCTION("iferror(if(isblank($C121),"""",sum(query('Saída'!$A$3:$H$505,""select E where B = 'Fatura' and H ='""&amp;$C121&amp;""' and A = '""&amp;D$102&amp;""'""))),"""")"),"  ")</f>
        <v/>
      </c>
      <c r="E121" s="355" t="str">
        <f>IFERROR(__xludf.DUMMYFUNCTION("iferror(if(isblank($C121),"""",sum(query('Saída'!$A$3:$H$505,""select E where B = 'Fatura' and H ='""&amp;$C121&amp;""' and A = '""&amp;E$102&amp;""'""))),"""")"),"  ")</f>
        <v/>
      </c>
      <c r="F121" s="355" t="str">
        <f>IFERROR(__xludf.DUMMYFUNCTION("iferror(if(isblank($C121),"""",sum(query('Saída'!$A$3:$H$505,""select E where B = 'Fatura' and H ='""&amp;$C121&amp;""' and A = '""&amp;F$102&amp;""'""))),"""")"),"  ")</f>
        <v/>
      </c>
      <c r="G121" s="355" t="str">
        <f>IFERROR(__xludf.DUMMYFUNCTION("iferror(if(isblank($C121),"""",sum(query('Saída'!$A$3:$H$505,""select E where B = 'Fatura' and H ='""&amp;$C121&amp;""' and A = '""&amp;G$102&amp;""'""))),"""")"),"  ")</f>
        <v/>
      </c>
      <c r="H121" s="355" t="str">
        <f>IFERROR(__xludf.DUMMYFUNCTION("iferror(if(isblank($C121),"""",sum(query('Saída'!$A$3:$H$505,""select E where B = 'Fatura' and H ='""&amp;$C121&amp;""' and A = '""&amp;H$102&amp;""'""))),"""")"),"  ")</f>
        <v/>
      </c>
      <c r="I121" s="355" t="str">
        <f>IFERROR(__xludf.DUMMYFUNCTION("iferror(if(isblank($C121),"""",sum(query('Saída'!$A$3:$H$505,""select E where B = 'Fatura' and H ='""&amp;$C121&amp;""' and A = '""&amp;I$102&amp;""'""))),"""")"),"  ")</f>
        <v/>
      </c>
      <c r="J121" s="355" t="str">
        <f>IFERROR(__xludf.DUMMYFUNCTION("iferror(if(isblank($C121),"""",sum(query('Saída'!$A$3:$H$505,""select E where B = 'Fatura' and H ='""&amp;$C121&amp;""' and A = '""&amp;J$102&amp;""'""))),"""")"),"  ")</f>
        <v/>
      </c>
      <c r="K121" s="355" t="str">
        <f>IFERROR(__xludf.DUMMYFUNCTION("iferror(if(isblank($C121),"""",sum(query('Saída'!$A$3:$H$505,""select E where B = 'Fatura' and H ='""&amp;$C121&amp;""' and A = '""&amp;K$102&amp;""'""))),"""")"),"  ")</f>
        <v/>
      </c>
      <c r="L121" s="355" t="str">
        <f>IFERROR(__xludf.DUMMYFUNCTION("iferror(if(isblank($C121),"""",sum(query('Saída'!$A$3:$H$505,""select E where B = 'Fatura' and H ='""&amp;$C121&amp;""' and A = '""&amp;L$102&amp;""'""))),"""")"),"  ")</f>
        <v/>
      </c>
      <c r="M121" s="355" t="str">
        <f>IFERROR(__xludf.DUMMYFUNCTION("iferror(if(isblank($C121),"""",sum(query('Saída'!$A$3:$H$505,""select E where B = 'Fatura' and H ='""&amp;$C121&amp;""' and A = '""&amp;M$102&amp;""'""))),"""")"),"  ")</f>
        <v/>
      </c>
      <c r="N121" s="355" t="str">
        <f>IFERROR(__xludf.DUMMYFUNCTION("iferror(if(isblank($C121),"""",sum(query('Saída'!$A$3:$H$505,""select E where B = 'Fatura' and H ='""&amp;$C121&amp;""' and A = '""&amp;N$102&amp;""'""))),"""")"),"  ")</f>
        <v/>
      </c>
      <c r="O121" s="355" t="str">
        <f>IFERROR(__xludf.DUMMYFUNCTION("iferror(if(isblank($C121),"""",sum(query('Saída'!$A$3:$H$505,""select E where B = 'Fatura' and H ='""&amp;$C121&amp;""' and A = '""&amp;O$102&amp;""'""))),"""")"),"  ")</f>
        <v/>
      </c>
      <c r="P121" s="355"/>
      <c r="Q121" s="355"/>
      <c r="R121" s="355"/>
      <c r="S121" s="355"/>
      <c r="T121" s="355"/>
      <c r="U121" s="355"/>
      <c r="V121" s="355"/>
      <c r="W121" s="355"/>
      <c r="X121" s="355"/>
      <c r="Y121" s="355"/>
      <c r="Z121" s="355"/>
      <c r="AA121" s="356"/>
      <c r="AB121" s="21"/>
      <c r="AC121" s="21"/>
      <c r="AD121" s="21"/>
      <c r="AE121" s="302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</row>
    <row r="122">
      <c r="A122" s="379"/>
      <c r="B122" s="385" t="str">
        <f t="shared" si="12"/>
        <v/>
      </c>
      <c r="C122" s="386"/>
      <c r="D122" s="387" t="str">
        <f>IFERROR(__xludf.DUMMYFUNCTION("iferror(if(isblank($C122),"""",sum(query('Saída'!$A$3:$H$505,""select E where B = 'Fatura' and H ='""&amp;$C122&amp;""' and A = '""&amp;D$102&amp;""'""))),"""")"),"  ")</f>
        <v/>
      </c>
      <c r="E122" s="355" t="str">
        <f>IFERROR(__xludf.DUMMYFUNCTION("iferror(if(isblank($C122),"""",sum(query('Saída'!$A$3:$H$505,""select E where B = 'Fatura' and H ='""&amp;$C122&amp;""' and A = '""&amp;E$102&amp;""'""))),"""")"),"  ")</f>
        <v/>
      </c>
      <c r="F122" s="355" t="str">
        <f>IFERROR(__xludf.DUMMYFUNCTION("iferror(if(isblank($C122),"""",sum(query('Saída'!$A$3:$H$505,""select E where B = 'Fatura' and H ='""&amp;$C122&amp;""' and A = '""&amp;F$102&amp;""'""))),"""")"),"  ")</f>
        <v/>
      </c>
      <c r="G122" s="355" t="str">
        <f>IFERROR(__xludf.DUMMYFUNCTION("iferror(if(isblank($C122),"""",sum(query('Saída'!$A$3:$H$505,""select E where B = 'Fatura' and H ='""&amp;$C122&amp;""' and A = '""&amp;G$102&amp;""'""))),"""")"),"  ")</f>
        <v/>
      </c>
      <c r="H122" s="355" t="str">
        <f>IFERROR(__xludf.DUMMYFUNCTION("iferror(if(isblank($C122),"""",sum(query('Saída'!$A$3:$H$505,""select E where B = 'Fatura' and H ='""&amp;$C122&amp;""' and A = '""&amp;H$102&amp;""'""))),"""")"),"  ")</f>
        <v/>
      </c>
      <c r="I122" s="355" t="str">
        <f>IFERROR(__xludf.DUMMYFUNCTION("iferror(if(isblank($C122),"""",sum(query('Saída'!$A$3:$H$505,""select E where B = 'Fatura' and H ='""&amp;$C122&amp;""' and A = '""&amp;I$102&amp;""'""))),"""")"),"  ")</f>
        <v/>
      </c>
      <c r="J122" s="355" t="str">
        <f>IFERROR(__xludf.DUMMYFUNCTION("iferror(if(isblank($C122),"""",sum(query('Saída'!$A$3:$H$505,""select E where B = 'Fatura' and H ='""&amp;$C122&amp;""' and A = '""&amp;J$102&amp;""'""))),"""")"),"  ")</f>
        <v/>
      </c>
      <c r="K122" s="355" t="str">
        <f>IFERROR(__xludf.DUMMYFUNCTION("iferror(if(isblank($C122),"""",sum(query('Saída'!$A$3:$H$505,""select E where B = 'Fatura' and H ='""&amp;$C122&amp;""' and A = '""&amp;K$102&amp;""'""))),"""")"),"  ")</f>
        <v/>
      </c>
      <c r="L122" s="355" t="str">
        <f>IFERROR(__xludf.DUMMYFUNCTION("iferror(if(isblank($C122),"""",sum(query('Saída'!$A$3:$H$505,""select E where B = 'Fatura' and H ='""&amp;$C122&amp;""' and A = '""&amp;L$102&amp;""'""))),"""")"),"  ")</f>
        <v/>
      </c>
      <c r="M122" s="355" t="str">
        <f>IFERROR(__xludf.DUMMYFUNCTION("iferror(if(isblank($C122),"""",sum(query('Saída'!$A$3:$H$505,""select E where B = 'Fatura' and H ='""&amp;$C122&amp;""' and A = '""&amp;M$102&amp;""'""))),"""")"),"  ")</f>
        <v/>
      </c>
      <c r="N122" s="355" t="str">
        <f>IFERROR(__xludf.DUMMYFUNCTION("iferror(if(isblank($C122),"""",sum(query('Saída'!$A$3:$H$505,""select E where B = 'Fatura' and H ='""&amp;$C122&amp;""' and A = '""&amp;N$102&amp;""'""))),"""")"),"  ")</f>
        <v/>
      </c>
      <c r="O122" s="355" t="str">
        <f>IFERROR(__xludf.DUMMYFUNCTION("iferror(if(isblank($C122),"""",sum(query('Saída'!$A$3:$H$505,""select E where B = 'Fatura' and H ='""&amp;$C122&amp;""' and A = '""&amp;O$102&amp;""'""))),"""")"),"  ")</f>
        <v/>
      </c>
      <c r="P122" s="355"/>
      <c r="Q122" s="355"/>
      <c r="R122" s="355"/>
      <c r="S122" s="355"/>
      <c r="T122" s="355"/>
      <c r="U122" s="355"/>
      <c r="V122" s="355"/>
      <c r="W122" s="355"/>
      <c r="X122" s="355"/>
      <c r="Y122" s="355"/>
      <c r="Z122" s="355"/>
      <c r="AA122" s="356"/>
      <c r="AB122" s="21"/>
      <c r="AC122" s="21"/>
      <c r="AD122" s="21"/>
      <c r="AE122" s="302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</row>
    <row r="123">
      <c r="A123" s="379"/>
      <c r="B123" s="388" t="str">
        <f t="shared" si="12"/>
        <v/>
      </c>
      <c r="C123" s="389"/>
      <c r="D123" s="390" t="str">
        <f>IFERROR(__xludf.DUMMYFUNCTION("iferror(if(isblank($C123),"""",sum(query('Saída'!$A$3:$H$505,""select E where B = 'Fatura' and H ='""&amp;$C123&amp;""' and A = '""&amp;D$102&amp;""'""))),"""")"),"  ")</f>
        <v/>
      </c>
      <c r="E123" s="369" t="str">
        <f>IFERROR(__xludf.DUMMYFUNCTION("iferror(if(isblank($C123),"""",sum(query('Saída'!$A$3:$H$505,""select E where B = 'Fatura' and H ='""&amp;$C123&amp;""' and A = '""&amp;E$102&amp;""'""))),"""")"),"  ")</f>
        <v/>
      </c>
      <c r="F123" s="369" t="str">
        <f>IFERROR(__xludf.DUMMYFUNCTION("iferror(if(isblank($C123),"""",sum(query('Saída'!$A$3:$H$505,""select E where B = 'Fatura' and H ='""&amp;$C123&amp;""' and A = '""&amp;F$102&amp;""'""))),"""")"),"  ")</f>
        <v/>
      </c>
      <c r="G123" s="369" t="str">
        <f>IFERROR(__xludf.DUMMYFUNCTION("iferror(if(isblank($C123),"""",sum(query('Saída'!$A$3:$H$505,""select E where B = 'Fatura' and H ='""&amp;$C123&amp;""' and A = '""&amp;G$102&amp;""'""))),"""")"),"  ")</f>
        <v/>
      </c>
      <c r="H123" s="369" t="str">
        <f>IFERROR(__xludf.DUMMYFUNCTION("iferror(if(isblank($C123),"""",sum(query('Saída'!$A$3:$H$505,""select E where B = 'Fatura' and H ='""&amp;$C123&amp;""' and A = '""&amp;H$102&amp;""'""))),"""")"),"  ")</f>
        <v/>
      </c>
      <c r="I123" s="369" t="str">
        <f>IFERROR(__xludf.DUMMYFUNCTION("iferror(if(isblank($C123),"""",sum(query('Saída'!$A$3:$H$505,""select E where B = 'Fatura' and H ='""&amp;$C123&amp;""' and A = '""&amp;I$102&amp;""'""))),"""")"),"  ")</f>
        <v/>
      </c>
      <c r="J123" s="369" t="str">
        <f>IFERROR(__xludf.DUMMYFUNCTION("iferror(if(isblank($C123),"""",sum(query('Saída'!$A$3:$H$505,""select E where B = 'Fatura' and H ='""&amp;$C123&amp;""' and A = '""&amp;J$102&amp;""'""))),"""")"),"  ")</f>
        <v/>
      </c>
      <c r="K123" s="369" t="str">
        <f>IFERROR(__xludf.DUMMYFUNCTION("iferror(if(isblank($C123),"""",sum(query('Saída'!$A$3:$H$505,""select E where B = 'Fatura' and H ='""&amp;$C123&amp;""' and A = '""&amp;K$102&amp;""'""))),"""")"),"  ")</f>
        <v/>
      </c>
      <c r="L123" s="369" t="str">
        <f>IFERROR(__xludf.DUMMYFUNCTION("iferror(if(isblank($C123),"""",sum(query('Saída'!$A$3:$H$505,""select E where B = 'Fatura' and H ='""&amp;$C123&amp;""' and A = '""&amp;L$102&amp;""'""))),"""")"),"  ")</f>
        <v/>
      </c>
      <c r="M123" s="369" t="str">
        <f>IFERROR(__xludf.DUMMYFUNCTION("iferror(if(isblank($C123),"""",sum(query('Saída'!$A$3:$H$505,""select E where B = 'Fatura' and H ='""&amp;$C123&amp;""' and A = '""&amp;M$102&amp;""'""))),"""")"),"  ")</f>
        <v/>
      </c>
      <c r="N123" s="369" t="str">
        <f>IFERROR(__xludf.DUMMYFUNCTION("iferror(if(isblank($C123),"""",sum(query('Saída'!$A$3:$H$505,""select E where B = 'Fatura' and H ='""&amp;$C123&amp;""' and A = '""&amp;N$102&amp;""'""))),"""")"),"  ")</f>
        <v/>
      </c>
      <c r="O123" s="369" t="str">
        <f>IFERROR(__xludf.DUMMYFUNCTION("iferror(if(isblank($C123),"""",sum(query('Saída'!$A$3:$H$505,""select E where B = 'Fatura' and H ='""&amp;$C123&amp;""' and A = '""&amp;O$102&amp;""'""))),"""")"),"  ")</f>
        <v/>
      </c>
      <c r="P123" s="369" t="str">
        <f>IFERROR(__xludf.DUMMYFUNCTION("iferror(if(isblank($C123),"""",sum(query('Saída'!$A$3:$H$505,""select E where B = 'Fatura' and H ='""&amp;$C123&amp;""' and A = '""&amp;P$102&amp;""'""))),"""")"),"  ")</f>
        <v/>
      </c>
      <c r="Q123" s="369" t="str">
        <f>IFERROR(__xludf.DUMMYFUNCTION("if(isblank($C123),"""",sum(query('Saída'!$A$3:$H$505,""select E where B = 'Fatura' and H ='""&amp;$C123&amp;""' and A = '""&amp;Q$102&amp;""'"")))"),"  ")</f>
        <v/>
      </c>
      <c r="R123" s="369" t="str">
        <f>IFERROR(__xludf.DUMMYFUNCTION("if(isblank($C123),"""",sum(query('Saída'!$A$3:$H$505,""select E where B = 'Fatura' and H ='""&amp;$C123&amp;""' and A = '""&amp;R$102&amp;""'"")))"),"  ")</f>
        <v/>
      </c>
      <c r="S123" s="369" t="str">
        <f>IFERROR(__xludf.DUMMYFUNCTION("if(isblank($C123),"""",sum(query('Saída'!$A$3:$H$505,""select E where B = 'Fatura' and H ='""&amp;$C123&amp;""' and A = '""&amp;S$102&amp;""'"")))"),"  ")</f>
        <v/>
      </c>
      <c r="T123" s="369" t="str">
        <f>IFERROR(__xludf.DUMMYFUNCTION("if(isblank($C123),"""",sum(query('Saída'!$A$3:$H$505,""select E where B = 'Fatura' and H ='""&amp;$C123&amp;""' and A = '""&amp;T$102&amp;""'"")))"),"  ")</f>
        <v/>
      </c>
      <c r="U123" s="369" t="str">
        <f>IFERROR(__xludf.DUMMYFUNCTION("if(isblank($C123),"""",sum(query('Saída'!$A$3:$H$505,""select E where B = 'Fatura' and H ='""&amp;$C123&amp;""' and A = '""&amp;U$102&amp;""'"")))"),"  ")</f>
        <v/>
      </c>
      <c r="V123" s="369" t="str">
        <f>IFERROR(__xludf.DUMMYFUNCTION("if(isblank($C123),"""",sum(query('Saída'!$A$3:$H$505,""select E where B = 'Fatura' and H ='""&amp;$C123&amp;""' and A = '""&amp;V$102&amp;""'"")))"),"  ")</f>
        <v/>
      </c>
      <c r="W123" s="369" t="str">
        <f>IFERROR(__xludf.DUMMYFUNCTION("if(isblank($C123),"""",sum(query('Saída'!$A$3:$H$505,""select E where B = 'Fatura' and H ='""&amp;$C123&amp;""' and A = '""&amp;W$102&amp;""'"")))"),"  ")</f>
        <v/>
      </c>
      <c r="X123" s="369" t="str">
        <f>IFERROR(__xludf.DUMMYFUNCTION("if(isblank($C123),"""",sum(query('Saída'!$A$3:$H$505,""select E where B = 'Fatura' and H ='""&amp;$C123&amp;""' and A = '""&amp;X$102&amp;""'"")))"),"  ")</f>
        <v/>
      </c>
      <c r="Y123" s="369" t="str">
        <f>IFERROR(__xludf.DUMMYFUNCTION("if(isblank($C123),"""",sum(query('Saída'!$A$3:$H$505,""select E where B = 'Fatura' and H ='""&amp;$C123&amp;""' and A = '""&amp;Y$102&amp;""'"")))"),"  ")</f>
        <v/>
      </c>
      <c r="Z123" s="369" t="str">
        <f>IFERROR(__xludf.DUMMYFUNCTION("if(isblank($C123),"""",sum(query('Saída'!$A$3:$H$505,""select E where B = 'Fatura' and H ='""&amp;$C123&amp;""' and A = '""&amp;Z$102&amp;""'"")))"),"  ")</f>
        <v/>
      </c>
      <c r="AA123" s="370" t="str">
        <f>IFERROR(__xludf.DUMMYFUNCTION("if(isblank($C123),"""",sum(query('Saída'!$A$3:$H$505,""select E where B = 'Fatura' and H ='""&amp;$C123&amp;""' and A = '""&amp;AA$102&amp;""'"")))"),"  ")</f>
        <v/>
      </c>
      <c r="AB123" s="21"/>
      <c r="AC123" s="21"/>
      <c r="AD123" s="21"/>
      <c r="AE123" s="302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</row>
    <row r="124">
      <c r="A124" s="391"/>
      <c r="B124" s="391"/>
      <c r="C124" s="392" t="s">
        <v>355</v>
      </c>
      <c r="D124" s="393"/>
      <c r="E124" s="394"/>
      <c r="F124" s="393"/>
      <c r="G124" s="394"/>
      <c r="H124" s="394"/>
      <c r="I124" s="393"/>
      <c r="J124" s="393"/>
      <c r="K124" s="393"/>
      <c r="L124" s="393"/>
      <c r="M124" s="393"/>
      <c r="N124" s="393"/>
      <c r="O124" s="393"/>
      <c r="P124" s="393"/>
      <c r="Q124" s="393"/>
      <c r="R124" s="393"/>
      <c r="S124" s="393"/>
      <c r="T124" s="393"/>
      <c r="U124" s="393"/>
      <c r="V124" s="393"/>
      <c r="W124" s="393"/>
      <c r="X124" s="393"/>
      <c r="Y124" s="393"/>
      <c r="Z124" s="393"/>
      <c r="AA124" s="393"/>
      <c r="AB124" s="21"/>
      <c r="AC124" s="21"/>
      <c r="AD124" s="21"/>
      <c r="AE124" s="302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</row>
    <row r="125">
      <c r="A125" s="21"/>
      <c r="B125" s="21"/>
      <c r="C125" s="21"/>
      <c r="D125" s="27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302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</row>
    <row r="126">
      <c r="A126" s="21"/>
      <c r="B126" s="21"/>
      <c r="C126" s="395"/>
      <c r="D126" s="21"/>
      <c r="E126" s="21"/>
      <c r="F126" s="21"/>
      <c r="G126" s="396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302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302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</row>
    <row r="128">
      <c r="A128" s="21"/>
      <c r="B128" s="21"/>
      <c r="C128" s="21"/>
      <c r="D128" s="21"/>
      <c r="E128" s="21"/>
      <c r="F128" s="27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302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</row>
    <row r="129">
      <c r="A129" s="21"/>
      <c r="B129" s="21"/>
      <c r="C129" s="21"/>
      <c r="D129" s="21"/>
      <c r="E129" s="21"/>
      <c r="F129" s="27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302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302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302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302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302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302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302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302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302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302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302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302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302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302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302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302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302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302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302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302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302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302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302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302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302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302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302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302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302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302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302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302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302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302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302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302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302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302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302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302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302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302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302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302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302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302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302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302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302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302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302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302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302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302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302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302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302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302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302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302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302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302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302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302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302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302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302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302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302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302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302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302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302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302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302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302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302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302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302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302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302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302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302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302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302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302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302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302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302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302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302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302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302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302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302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302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302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302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302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302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302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302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302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302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302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302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302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302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302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302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302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302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302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302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302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302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302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302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302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302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302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302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302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302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302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302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302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302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302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302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302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302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302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302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302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302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302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302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302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302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302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302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302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302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302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302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302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302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302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302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302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302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302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302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302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302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302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302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302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302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302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302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302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302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302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302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302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302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302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302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302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302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302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302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302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302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302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302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302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302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302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302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302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302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302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302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302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302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302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302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302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302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302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302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302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302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302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302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302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302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302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302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302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302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302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302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302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302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302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302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302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302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302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302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302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302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302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302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302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302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302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302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302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302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302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302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302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302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302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302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302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302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302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302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302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302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302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302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302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302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302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302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302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302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302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302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302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302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302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302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302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302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302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302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302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302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302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302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302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302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302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302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302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302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302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302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302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302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302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302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302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302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302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302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302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302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302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302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302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302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302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302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302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302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302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302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302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302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302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302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302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302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302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302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302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302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302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302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302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302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302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302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302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302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302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302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302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302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302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302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302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302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302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302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302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302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302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302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302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302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302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302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302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302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302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302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302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302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302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302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302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302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302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302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302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302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302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302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302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302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302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302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302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302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302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302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302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302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302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302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302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302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302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302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302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302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302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302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302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302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302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302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302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302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302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302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302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302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302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302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302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302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302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302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302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302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302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302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302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302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302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302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G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302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302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G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302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G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302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G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302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G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302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302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302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302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302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302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G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302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G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302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302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302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302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302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302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302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302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302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302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302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302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302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302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302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302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302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302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302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302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302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302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302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302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302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302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G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302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G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302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G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302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G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302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G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302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G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302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G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302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G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302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G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302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302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302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302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302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302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302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302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302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302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302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302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302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302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302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302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302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302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302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302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302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302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302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302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  <c r="BG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302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302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302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302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302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302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302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302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302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302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302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302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302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302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302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302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302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302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302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302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302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302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302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302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302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302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302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302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302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302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302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302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302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302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302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302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302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  <c r="BG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302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302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302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  <c r="BG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302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  <c r="BG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302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  <c r="BG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302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302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  <c r="BG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302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  <c r="BG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302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  <c r="BG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302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302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302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302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  <c r="BG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302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  <c r="BG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302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  <c r="BG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302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  <c r="BG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302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  <c r="BG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302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  <c r="BG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302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  <c r="BG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302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  <c r="BG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302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  <c r="BG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302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  <c r="BG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302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  <c r="BG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302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  <c r="BG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302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  <c r="BG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302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  <c r="BG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302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  <c r="BG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302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  <c r="BG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302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  <c r="BG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302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  <c r="BG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302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  <c r="BG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302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  <c r="BG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302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  <c r="BG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302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  <c r="BG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302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  <c r="BG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302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  <c r="BG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302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  <c r="BG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302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302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302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302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302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302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302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302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  <c r="BG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302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  <c r="BG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302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302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302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302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302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302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302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302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302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302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  <c r="BG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302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  <c r="BG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302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  <c r="BG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302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  <c r="BG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302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  <c r="BG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302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  <c r="BG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302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  <c r="BG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302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  <c r="BG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302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  <c r="BG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302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  <c r="BG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302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  <c r="BG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302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  <c r="BG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302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  <c r="BG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302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  <c r="BG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302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  <c r="BG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302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  <c r="BG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302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  <c r="BG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302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  <c r="BG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302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  <c r="BG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302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  <c r="BG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302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  <c r="BG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302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  <c r="BG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302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  <c r="BG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302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302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  <c r="BG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302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  <c r="BG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302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  <c r="BG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302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  <c r="BG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302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302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302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302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302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302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302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  <c r="BG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302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  <c r="BG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302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  <c r="BG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302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  <c r="BG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302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302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302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302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302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302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302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  <c r="BG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302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  <c r="BG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302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  <c r="BG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302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  <c r="BG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302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  <c r="BG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302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  <c r="BG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302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  <c r="BG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302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  <c r="BG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302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  <c r="BG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302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  <c r="BG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302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  <c r="BG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302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  <c r="BG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302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302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302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  <c r="BG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302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  <c r="BG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302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  <c r="BG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302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  <c r="BG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302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  <c r="BG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302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302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  <c r="BG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302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  <c r="BG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302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  <c r="BG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302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  <c r="BG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302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  <c r="BG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302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  <c r="BG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302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  <c r="BG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302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  <c r="BG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302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  <c r="BG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302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  <c r="BG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302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  <c r="BG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302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  <c r="BG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302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  <c r="BG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302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  <c r="BG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302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  <c r="BG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302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  <c r="BG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302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  <c r="BG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302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  <c r="BG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302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  <c r="BG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302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302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302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302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302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302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302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  <c r="BG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302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  <c r="BG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302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  <c r="BG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302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302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302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302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302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302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302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302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302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302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302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  <c r="BG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302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  <c r="BG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302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  <c r="BG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302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  <c r="BG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302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  <c r="BG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302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  <c r="BG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302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  <c r="BG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302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  <c r="BG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302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  <c r="BG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302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  <c r="BG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302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  <c r="BG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302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  <c r="BG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302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302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  <c r="BG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302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  <c r="BG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302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  <c r="BG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302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  <c r="BG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302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  <c r="BG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302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  <c r="BG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302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  <c r="BG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302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  <c r="BG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302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302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302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302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302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302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302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302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302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302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302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302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302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  <c r="BG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302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  <c r="BG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302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302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302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302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302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302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302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302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302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302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302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302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302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302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302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302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302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302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302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302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302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302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  <c r="BG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302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302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302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302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  <c r="BG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302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  <c r="BG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302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302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  <c r="BG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302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302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  <c r="BG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302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  <c r="BG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302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  <c r="BG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302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302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302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  <c r="BG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302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302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  <c r="BG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302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  <c r="BG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302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  <c r="BG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302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  <c r="BG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302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  <c r="BG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302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  <c r="BG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302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  <c r="BG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302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  <c r="BG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302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  <c r="BG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302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  <c r="BG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302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  <c r="BG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302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  <c r="BG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302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  <c r="BG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302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  <c r="BG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302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  <c r="BG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302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  <c r="BG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302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  <c r="BG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302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302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302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302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302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302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302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302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302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302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302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  <c r="BG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302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302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  <c r="BG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302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302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302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302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302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  <c r="BG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302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  <c r="BG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302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  <c r="BG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302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  <c r="BG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302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302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302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302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  <c r="BG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302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  <c r="BG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302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302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302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302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302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302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302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302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302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302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302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302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  <c r="BG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302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  <c r="BG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302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302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  <c r="BG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302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  <c r="BG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302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  <c r="BG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302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302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  <c r="BG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302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302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  <c r="BG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302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302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302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302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302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302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302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302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302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302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302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302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302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302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  <c r="BG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302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  <c r="BG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302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302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302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302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302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302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302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302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302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302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302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  <c r="BG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302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302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  <c r="BG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302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302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  <c r="BG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302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  <c r="BG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302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302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302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  <c r="BG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302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  <c r="BG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302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  <c r="BG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302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  <c r="BG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302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  <c r="BG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302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  <c r="BG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302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  <c r="BG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302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  <c r="BG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302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  <c r="BG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302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  <c r="BG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302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  <c r="BG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302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  <c r="BG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302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  <c r="BG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302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  <c r="BG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302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  <c r="BG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302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  <c r="BG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302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  <c r="BG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302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  <c r="BG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302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  <c r="BG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302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  <c r="BG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302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  <c r="BG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302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  <c r="BG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302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  <c r="BG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302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  <c r="BG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302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  <c r="BG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302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  <c r="BG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302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302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  <c r="BG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302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  <c r="BG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302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  <c r="BG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302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  <c r="BG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302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  <c r="BG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302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  <c r="BG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302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  <c r="BG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302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  <c r="BG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302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  <c r="BG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302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  <c r="BG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302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  <c r="BG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302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  <c r="BG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302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  <c r="BG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302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  <c r="BG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302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  <c r="BG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302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  <c r="BG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302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  <c r="BG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302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  <c r="BG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302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  <c r="BG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302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  <c r="BG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302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  <c r="BG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302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  <c r="BG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302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  <c r="BG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302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  <c r="BG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302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  <c r="BG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302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  <c r="BG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302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  <c r="BG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302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  <c r="BG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302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  <c r="BG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302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  <c r="BG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302"/>
      <c r="AF1001" s="21"/>
      <c r="AG1001" s="21"/>
      <c r="AH1001" s="21"/>
      <c r="AI1001" s="21"/>
      <c r="AJ1001" s="21"/>
      <c r="AK1001" s="21"/>
      <c r="AL1001" s="21"/>
      <c r="AM1001" s="21"/>
      <c r="AN1001" s="21"/>
      <c r="AO1001" s="21"/>
      <c r="AP1001" s="21"/>
      <c r="AQ1001" s="21"/>
      <c r="AR1001" s="21"/>
      <c r="AS1001" s="21"/>
      <c r="AT1001" s="21"/>
      <c r="AU1001" s="21"/>
      <c r="AV1001" s="21"/>
      <c r="AW1001" s="21"/>
      <c r="AX1001" s="21"/>
      <c r="AY1001" s="21"/>
      <c r="AZ1001" s="21"/>
      <c r="BA1001" s="21"/>
      <c r="BB1001" s="21"/>
      <c r="BC1001" s="21"/>
      <c r="BD1001" s="21"/>
      <c r="BE1001" s="21"/>
      <c r="BF1001" s="21"/>
      <c r="BG1001" s="21"/>
    </row>
    <row r="100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302"/>
      <c r="AF1002" s="21"/>
      <c r="AG1002" s="21"/>
      <c r="AH1002" s="21"/>
      <c r="AI1002" s="21"/>
      <c r="AJ1002" s="21"/>
      <c r="AK1002" s="21"/>
      <c r="AL1002" s="21"/>
      <c r="AM1002" s="21"/>
      <c r="AN1002" s="21"/>
      <c r="AO1002" s="21"/>
      <c r="AP1002" s="21"/>
      <c r="AQ1002" s="21"/>
      <c r="AR1002" s="21"/>
      <c r="AS1002" s="21"/>
      <c r="AT1002" s="21"/>
      <c r="AU1002" s="21"/>
      <c r="AV1002" s="21"/>
      <c r="AW1002" s="21"/>
      <c r="AX1002" s="21"/>
      <c r="AY1002" s="21"/>
      <c r="AZ1002" s="21"/>
      <c r="BA1002" s="21"/>
      <c r="BB1002" s="21"/>
      <c r="BC1002" s="21"/>
      <c r="BD1002" s="21"/>
      <c r="BE1002" s="21"/>
      <c r="BF1002" s="21"/>
      <c r="BG1002" s="21"/>
    </row>
    <row r="1003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302"/>
      <c r="AF1003" s="21"/>
      <c r="AG1003" s="21"/>
      <c r="AH1003" s="21"/>
      <c r="AI1003" s="21"/>
      <c r="AJ1003" s="21"/>
      <c r="AK1003" s="21"/>
      <c r="AL1003" s="21"/>
      <c r="AM1003" s="21"/>
      <c r="AN1003" s="21"/>
      <c r="AO1003" s="21"/>
      <c r="AP1003" s="21"/>
      <c r="AQ1003" s="21"/>
      <c r="AR1003" s="21"/>
      <c r="AS1003" s="21"/>
      <c r="AT1003" s="21"/>
      <c r="AU1003" s="21"/>
      <c r="AV1003" s="21"/>
      <c r="AW1003" s="21"/>
      <c r="AX1003" s="21"/>
      <c r="AY1003" s="21"/>
      <c r="AZ1003" s="21"/>
      <c r="BA1003" s="21"/>
      <c r="BB1003" s="21"/>
      <c r="BC1003" s="21"/>
      <c r="BD1003" s="21"/>
      <c r="BE1003" s="21"/>
      <c r="BF1003" s="21"/>
      <c r="BG1003" s="21"/>
    </row>
    <row r="1004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302"/>
      <c r="AF1004" s="21"/>
      <c r="AG1004" s="21"/>
      <c r="AH1004" s="21"/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  <c r="AT1004" s="21"/>
      <c r="AU1004" s="21"/>
      <c r="AV1004" s="21"/>
      <c r="AW1004" s="21"/>
      <c r="AX1004" s="21"/>
      <c r="AY1004" s="21"/>
      <c r="AZ1004" s="21"/>
      <c r="BA1004" s="21"/>
      <c r="BB1004" s="21"/>
      <c r="BC1004" s="21"/>
      <c r="BD1004" s="21"/>
      <c r="BE1004" s="21"/>
      <c r="BF1004" s="21"/>
      <c r="BG1004" s="21"/>
    </row>
    <row r="1005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302"/>
      <c r="AF1005" s="21"/>
      <c r="AG1005" s="21"/>
      <c r="AH1005" s="21"/>
      <c r="AI1005" s="21"/>
      <c r="AJ1005" s="21"/>
      <c r="AK1005" s="21"/>
      <c r="AL1005" s="21"/>
      <c r="AM1005" s="21"/>
      <c r="AN1005" s="21"/>
      <c r="AO1005" s="21"/>
      <c r="AP1005" s="21"/>
      <c r="AQ1005" s="21"/>
      <c r="AR1005" s="21"/>
      <c r="AS1005" s="21"/>
      <c r="AT1005" s="21"/>
      <c r="AU1005" s="21"/>
      <c r="AV1005" s="21"/>
      <c r="AW1005" s="21"/>
      <c r="AX1005" s="21"/>
      <c r="AY1005" s="21"/>
      <c r="AZ1005" s="21"/>
      <c r="BA1005" s="21"/>
      <c r="BB1005" s="21"/>
      <c r="BC1005" s="21"/>
      <c r="BD1005" s="21"/>
      <c r="BE1005" s="21"/>
      <c r="BF1005" s="21"/>
      <c r="BG1005" s="21"/>
    </row>
  </sheetData>
  <mergeCells count="11">
    <mergeCell ref="B25:C26"/>
    <mergeCell ref="B100:C101"/>
    <mergeCell ref="D101:O101"/>
    <mergeCell ref="P101:AA101"/>
    <mergeCell ref="B1:C2"/>
    <mergeCell ref="D2:O2"/>
    <mergeCell ref="P2:AA2"/>
    <mergeCell ref="AC3:AJ3"/>
    <mergeCell ref="D26:O26"/>
    <mergeCell ref="P26:AA26"/>
    <mergeCell ref="AC26:AD26"/>
  </mergeCells>
  <drawing r:id="rId1"/>
  <tableParts count="4">
    <tablePart r:id="rId6"/>
    <tablePart r:id="rId7"/>
    <tablePart r:id="rId8"/>
    <tablePart r:id="rId9"/>
  </tableParts>
</worksheet>
</file>