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oWorkingSpace\itmo\ФИЗИКА\Лабораторная 3.05\"/>
    </mc:Choice>
  </mc:AlternateContent>
  <xr:revisionPtr revIDLastSave="0" documentId="13_ncr:1_{10CA215C-735B-49BA-BDA5-37C941C800D2}" xr6:coauthVersionLast="46" xr6:coauthVersionMax="46" xr10:uidLastSave="{00000000-0000-0000-0000-000000000000}"/>
  <bookViews>
    <workbookView xWindow="-108" yWindow="-108" windowWidth="23256" windowHeight="12576" xr2:uid="{5E72976E-E3AF-439B-BEAA-448A5B9E57F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1" l="1"/>
  <c r="P32" i="1"/>
  <c r="P33" i="1"/>
  <c r="P34" i="1"/>
  <c r="P31" i="1"/>
  <c r="O32" i="1"/>
  <c r="O33" i="1"/>
  <c r="O34" i="1"/>
  <c r="O31" i="1"/>
  <c r="N31" i="1"/>
  <c r="L34" i="1"/>
  <c r="L33" i="1"/>
  <c r="L32" i="1"/>
  <c r="L31" i="1"/>
  <c r="H33" i="1"/>
  <c r="C33" i="1"/>
  <c r="C34" i="1"/>
  <c r="C35" i="1"/>
  <c r="C36" i="1"/>
  <c r="C32" i="1"/>
  <c r="D33" i="1"/>
  <c r="D34" i="1"/>
  <c r="D35" i="1"/>
  <c r="D36" i="1"/>
  <c r="D32" i="1"/>
  <c r="N25" i="1"/>
  <c r="N26" i="1"/>
  <c r="N27" i="1"/>
  <c r="N24" i="1"/>
  <c r="P25" i="1"/>
  <c r="P26" i="1"/>
  <c r="P27" i="1"/>
  <c r="O25" i="1"/>
  <c r="O26" i="1"/>
  <c r="O27" i="1"/>
  <c r="AB22" i="1"/>
  <c r="AB23" i="1"/>
  <c r="AB24" i="1"/>
  <c r="AB25" i="1"/>
  <c r="P24" i="1"/>
  <c r="O24" i="1"/>
  <c r="Y12" i="1"/>
  <c r="Z6" i="1"/>
  <c r="Z7" i="1"/>
  <c r="Z8" i="1"/>
  <c r="Z9" i="1"/>
  <c r="Z5" i="1"/>
  <c r="W6" i="1"/>
  <c r="W7" i="1"/>
  <c r="W8" i="1"/>
  <c r="W9" i="1"/>
  <c r="W5" i="1"/>
  <c r="O17" i="1"/>
  <c r="O18" i="1"/>
  <c r="O16" i="1"/>
  <c r="B17" i="1"/>
  <c r="B18" i="1"/>
  <c r="B19" i="1"/>
  <c r="B20" i="1"/>
  <c r="B21" i="1"/>
  <c r="B16" i="1"/>
</calcChain>
</file>

<file path=xl/sharedStrings.xml><?xml version="1.0" encoding="utf-8"?>
<sst xmlns="http://schemas.openxmlformats.org/spreadsheetml/2006/main" count="34" uniqueCount="28">
  <si>
    <t>ln R</t>
  </si>
  <si>
    <t>1/T</t>
  </si>
  <si>
    <t>y = 3,7882x - 12,646</t>
  </si>
  <si>
    <t>x</t>
  </si>
  <si>
    <t xml:space="preserve">y </t>
  </si>
  <si>
    <t>t</t>
  </si>
  <si>
    <t>R</t>
  </si>
  <si>
    <t>y = 0,0041x + 0,9966</t>
  </si>
  <si>
    <t>y</t>
  </si>
  <si>
    <t>a</t>
  </si>
  <si>
    <t>1 6</t>
  </si>
  <si>
    <t>2 7</t>
  </si>
  <si>
    <t>3 8</t>
  </si>
  <si>
    <t>4 9</t>
  </si>
  <si>
    <t>5 10</t>
  </si>
  <si>
    <t>a пробное</t>
  </si>
  <si>
    <t>E</t>
  </si>
  <si>
    <t>Ti * Tj/ Tj - Ti</t>
  </si>
  <si>
    <t>ln(Ri/Rj)</t>
  </si>
  <si>
    <t>добавь 10^-23</t>
  </si>
  <si>
    <t>добавь 10^-19</t>
  </si>
  <si>
    <t>S=</t>
  </si>
  <si>
    <t>acр</t>
  </si>
  <si>
    <t>^2</t>
  </si>
  <si>
    <t>cр</t>
  </si>
  <si>
    <t xml:space="preserve">S = </t>
  </si>
  <si>
    <t>9,578 *10^-21</t>
  </si>
  <si>
    <t>0,09578 *10^-19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</si>
</sst>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9"/>
      <color rgb="FF595959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0"/>
      <color theme="1"/>
      <name val="Calibri"/>
      <family val="2"/>
      <charset val="204"/>
    </font>
    <font>
      <sz val="12"/>
      <color theme="1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3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" fontId="0" fillId="0" borderId="0" xfId="0" applyNumberFormat="1"/>
    <xf numFmtId="0" fontId="3" fillId="0" borderId="0" xfId="0" applyFont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8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 R</a:t>
            </a:r>
            <a:r>
              <a:rPr lang="en-US" baseline="0"/>
              <a:t> (1/T)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9739029154483573E-2"/>
          <c:y val="0.11596866082897794"/>
          <c:w val="0.89969446230623329"/>
          <c:h val="0.75827592813934175"/>
        </c:manualLayout>
      </c:layout>
      <c:scatterChart>
        <c:scatterStyle val="smoothMarker"/>
        <c:varyColors val="0"/>
        <c:ser>
          <c:idx val="1"/>
          <c:order val="1"/>
          <c:tx>
            <c:v>экспериментальный ряд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Лист1!$A$16:$A$21</c:f>
              <c:numCache>
                <c:formatCode>General</c:formatCode>
                <c:ptCount val="6"/>
                <c:pt idx="0">
                  <c:v>2.91</c:v>
                </c:pt>
                <c:pt idx="1">
                  <c:v>3</c:v>
                </c:pt>
                <c:pt idx="2">
                  <c:v>3.1</c:v>
                </c:pt>
                <c:pt idx="3">
                  <c:v>3.2</c:v>
                </c:pt>
                <c:pt idx="4">
                  <c:v>3.3</c:v>
                </c:pt>
                <c:pt idx="5">
                  <c:v>3.33</c:v>
                </c:pt>
              </c:numCache>
            </c:numRef>
          </c:xVal>
          <c:yVal>
            <c:numRef>
              <c:f>Лист1!$B$16:$B$21</c:f>
              <c:numCache>
                <c:formatCode>General</c:formatCode>
                <c:ptCount val="6"/>
                <c:pt idx="0">
                  <c:v>-1.6223380000000009</c:v>
                </c:pt>
                <c:pt idx="1">
                  <c:v>-1.2814000000000014</c:v>
                </c:pt>
                <c:pt idx="2">
                  <c:v>-0.90258000000000038</c:v>
                </c:pt>
                <c:pt idx="3">
                  <c:v>-0.52376000000000111</c:v>
                </c:pt>
                <c:pt idx="4">
                  <c:v>-0.14494000000000185</c:v>
                </c:pt>
                <c:pt idx="5">
                  <c:v>-3.1294000000000821E-2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01-4C4D-882C-1BC063C78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324815"/>
        <c:axId val="643339375"/>
      </c:scatterChart>
      <c:scatterChart>
        <c:scatterStyle val="lineMarker"/>
        <c:varyColors val="0"/>
        <c:ser>
          <c:idx val="0"/>
          <c:order val="0"/>
          <c:tx>
            <c:v>экспериментальные значения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3.3222</c:v>
                </c:pt>
                <c:pt idx="1">
                  <c:v>3.24675</c:v>
                </c:pt>
                <c:pt idx="2">
                  <c:v>3.1745999999999999</c:v>
                </c:pt>
                <c:pt idx="3">
                  <c:v>3.125</c:v>
                </c:pt>
                <c:pt idx="4">
                  <c:v>3.0769000000000002</c:v>
                </c:pt>
                <c:pt idx="5">
                  <c:v>3.0303</c:v>
                </c:pt>
                <c:pt idx="6">
                  <c:v>2.9849999999999999</c:v>
                </c:pt>
                <c:pt idx="7">
                  <c:v>2.9409999999999998</c:v>
                </c:pt>
              </c:numCache>
            </c:numRef>
          </c:xVal>
          <c:yVal>
            <c:numRef>
              <c:f>Лист1!$B$2:$B$9</c:f>
              <c:numCache>
                <c:formatCode>General</c:formatCode>
                <c:ptCount val="8"/>
                <c:pt idx="0">
                  <c:v>-0.12731999999999999</c:v>
                </c:pt>
                <c:pt idx="1">
                  <c:v>-0.35969000000000001</c:v>
                </c:pt>
                <c:pt idx="2">
                  <c:v>-0.629</c:v>
                </c:pt>
                <c:pt idx="3">
                  <c:v>-0.62448000000000004</c:v>
                </c:pt>
                <c:pt idx="4">
                  <c:v>-1.004</c:v>
                </c:pt>
                <c:pt idx="5">
                  <c:v>-1.1568000000000001</c:v>
                </c:pt>
                <c:pt idx="6">
                  <c:v>-1.3774</c:v>
                </c:pt>
                <c:pt idx="7">
                  <c:v>-1.5589999999999999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1-4C4D-882C-1BC063C78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280207"/>
        <c:axId val="635263151"/>
      </c:scatterChart>
      <c:valAx>
        <c:axId val="643324815"/>
        <c:scaling>
          <c:orientation val="minMax"/>
          <c:max val="3.3499999999999996"/>
          <c:min val="2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1000</a:t>
                </a:r>
                <a:r>
                  <a:rPr lang="en-US"/>
                  <a:t>/T,</a:t>
                </a:r>
                <a:r>
                  <a:rPr lang="en-US" baseline="0"/>
                  <a:t> </a:t>
                </a:r>
                <a:r>
                  <a:rPr lang="ru-RU" baseline="0"/>
                  <a:t>К</a:t>
                </a:r>
                <a:r>
                  <a:rPr lang="en-US" baseline="0"/>
                  <a:t>^(-</a:t>
                </a:r>
                <a:r>
                  <a:rPr lang="ru-RU" baseline="0"/>
                  <a:t>1</a:t>
                </a:r>
                <a:r>
                  <a:rPr lang="en-US" baseline="0"/>
                  <a:t>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3339375"/>
        <c:crosses val="autoZero"/>
        <c:crossBetween val="midCat"/>
      </c:valAx>
      <c:valAx>
        <c:axId val="6433393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3324815"/>
        <c:crosses val="autoZero"/>
        <c:crossBetween val="midCat"/>
      </c:valAx>
      <c:valAx>
        <c:axId val="635263151"/>
        <c:scaling>
          <c:orientation val="minMax"/>
          <c:max val="0"/>
          <c:min val="-1.7000000000000002"/>
        </c:scaling>
        <c:delete val="0"/>
        <c:axPos val="r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280207"/>
        <c:crosses val="max"/>
        <c:crossBetween val="midCat"/>
      </c:valAx>
      <c:valAx>
        <c:axId val="63528020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35263151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</a:t>
            </a:r>
            <a:r>
              <a:rPr lang="en-US" baseline="0"/>
              <a:t> 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476651994376191E-2"/>
          <c:y val="9.5264722344489544E-2"/>
          <c:w val="0.86609594520529287"/>
          <c:h val="0.79592578101650335"/>
        </c:manualLayout>
      </c:layout>
      <c:scatterChart>
        <c:scatterStyle val="smoothMarker"/>
        <c:varyColors val="0"/>
        <c:ser>
          <c:idx val="1"/>
          <c:order val="1"/>
          <c:tx>
            <c:v>тренд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Лист1!$N$16:$N$18</c:f>
              <c:numCache>
                <c:formatCode>General</c:formatCode>
                <c:ptCount val="3"/>
                <c:pt idx="0">
                  <c:v>31</c:v>
                </c:pt>
                <c:pt idx="1">
                  <c:v>40</c:v>
                </c:pt>
                <c:pt idx="2">
                  <c:v>78</c:v>
                </c:pt>
              </c:numCache>
            </c:numRef>
          </c:xVal>
          <c:yVal>
            <c:numRef>
              <c:f>Лист1!$O$16:$O$18</c:f>
              <c:numCache>
                <c:formatCode>General</c:formatCode>
                <c:ptCount val="3"/>
                <c:pt idx="0">
                  <c:v>1.1237000000000001</c:v>
                </c:pt>
                <c:pt idx="1">
                  <c:v>1.1606000000000001</c:v>
                </c:pt>
                <c:pt idx="2">
                  <c:v>1.3164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9C-4806-863D-407023610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324815"/>
        <c:axId val="643339375"/>
      </c:scatterChart>
      <c:scatterChart>
        <c:scatterStyle val="lineMarker"/>
        <c:varyColors val="0"/>
        <c:ser>
          <c:idx val="0"/>
          <c:order val="0"/>
          <c:tx>
            <c:v>экспериментальные значения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Лист1!$N$3:$N$12</c:f>
              <c:numCache>
                <c:formatCode>General</c:formatCode>
                <c:ptCount val="10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47</c:v>
                </c:pt>
                <c:pt idx="4">
                  <c:v>52</c:v>
                </c:pt>
                <c:pt idx="5">
                  <c:v>57</c:v>
                </c:pt>
                <c:pt idx="6">
                  <c:v>62</c:v>
                </c:pt>
                <c:pt idx="7">
                  <c:v>67</c:v>
                </c:pt>
                <c:pt idx="8">
                  <c:v>72</c:v>
                </c:pt>
                <c:pt idx="9">
                  <c:v>77</c:v>
                </c:pt>
              </c:numCache>
            </c:numRef>
          </c:xVal>
          <c:yVal>
            <c:numRef>
              <c:f>Лист1!$O$3:$O$12</c:f>
              <c:numCache>
                <c:formatCode>General</c:formatCode>
                <c:ptCount val="10"/>
                <c:pt idx="0">
                  <c:v>1.1339999999999999</c:v>
                </c:pt>
                <c:pt idx="1">
                  <c:v>1.1343000000000001</c:v>
                </c:pt>
                <c:pt idx="2">
                  <c:v>1.1755</c:v>
                </c:pt>
                <c:pt idx="3">
                  <c:v>1.1788000000000001</c:v>
                </c:pt>
                <c:pt idx="4">
                  <c:v>1.2136</c:v>
                </c:pt>
                <c:pt idx="5">
                  <c:v>1.2314000000000001</c:v>
                </c:pt>
                <c:pt idx="6">
                  <c:v>1.2492000000000001</c:v>
                </c:pt>
                <c:pt idx="7">
                  <c:v>1.2694000000000001</c:v>
                </c:pt>
                <c:pt idx="8">
                  <c:v>1.288</c:v>
                </c:pt>
                <c:pt idx="9">
                  <c:v>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C-4806-863D-407023610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21759"/>
        <c:axId val="641184335"/>
      </c:scatterChart>
      <c:valAx>
        <c:axId val="643324815"/>
        <c:scaling>
          <c:orientation val="minMax"/>
          <c:max val="8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</a:t>
                </a:r>
                <a:r>
                  <a:rPr lang="en-US" sz="1200" baseline="0"/>
                  <a:t> °C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0.48069964131842002"/>
              <c:y val="0.93177005568914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3339375"/>
        <c:crosses val="autoZero"/>
        <c:crossBetween val="midCat"/>
      </c:valAx>
      <c:valAx>
        <c:axId val="64333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R,</a:t>
                </a:r>
                <a:r>
                  <a:rPr lang="en-US" sz="1200" baseline="0"/>
                  <a:t> </a:t>
                </a:r>
                <a:r>
                  <a:rPr lang="ru-RU" sz="1200" baseline="0"/>
                  <a:t>кОм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3324815"/>
        <c:crosses val="autoZero"/>
        <c:crossBetween val="midCat"/>
      </c:valAx>
      <c:valAx>
        <c:axId val="64118433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42321759"/>
        <c:crosses val="max"/>
        <c:crossBetween val="midCat"/>
      </c:valAx>
      <c:valAx>
        <c:axId val="64232175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41184335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image" Target="../media/image2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30480</xdr:rowOff>
    </xdr:from>
    <xdr:to>
      <xdr:col>12</xdr:col>
      <xdr:colOff>106680</xdr:colOff>
      <xdr:row>18</xdr:row>
      <xdr:rowOff>163830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F567C4-83FC-44A0-8896-14CA1D033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350520</xdr:colOff>
      <xdr:row>20</xdr:row>
      <xdr:rowOff>198120</xdr:rowOff>
    </xdr:from>
    <xdr:to>
      <xdr:col>13</xdr:col>
      <xdr:colOff>175260</xdr:colOff>
      <xdr:row>28</xdr:row>
      <xdr:rowOff>358140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6060773-6FE8-4F6D-88D4-DF84CDEFB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304800</xdr:colOff>
      <xdr:row>0</xdr:row>
      <xdr:rowOff>89647</xdr:rowOff>
    </xdr:from>
    <xdr:to>
      <xdr:col>20</xdr:col>
      <xdr:colOff>701040</xdr:colOff>
      <xdr:row>5</xdr:row>
      <xdr:rowOff>196327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12F454C-7CB3-4FAA-9889-35EFCD83A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89647"/>
          <a:ext cx="3657600" cy="1092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121920</xdr:colOff>
      <xdr:row>18</xdr:row>
      <xdr:rowOff>91440</xdr:rowOff>
    </xdr:from>
    <xdr:to>
      <xdr:col>16</xdr:col>
      <xdr:colOff>579120</xdr:colOff>
      <xdr:row>20</xdr:row>
      <xdr:rowOff>571500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AA0C1FB-A54C-43BD-8155-EE4C4FC14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6720" y="3756660"/>
          <a:ext cx="3032760" cy="853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20</xdr:row>
      <xdr:rowOff>0</xdr:rowOff>
    </xdr:from>
    <xdr:to>
      <xdr:col>19</xdr:col>
      <xdr:colOff>259080</xdr:colOff>
      <xdr:row>20</xdr:row>
      <xdr:rowOff>175260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751599DC-C0F3-420D-9399-937F84D55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4038600"/>
          <a:ext cx="2590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60960</xdr:colOff>
      <xdr:row>20</xdr:row>
      <xdr:rowOff>22860</xdr:rowOff>
    </xdr:from>
    <xdr:to>
      <xdr:col>20</xdr:col>
      <xdr:colOff>419100</xdr:colOff>
      <xdr:row>20</xdr:row>
      <xdr:rowOff>198120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58C01D1E-1B99-4579-A5A3-ECA54F7CD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0" y="4061460"/>
          <a:ext cx="3581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312420</xdr:colOff>
      <xdr:row>13</xdr:row>
      <xdr:rowOff>22860</xdr:rowOff>
    </xdr:from>
    <xdr:to>
      <xdr:col>26</xdr:col>
      <xdr:colOff>457200</xdr:colOff>
      <xdr:row>18</xdr:row>
      <xdr:rowOff>167640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D7012308-1029-4EEA-85F5-2DF9D3651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0440" y="2659380"/>
          <a:ext cx="2583180" cy="1173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20</xdr:row>
      <xdr:rowOff>0</xdr:rowOff>
    </xdr:from>
    <xdr:to>
      <xdr:col>23</xdr:col>
      <xdr:colOff>251460</xdr:colOff>
      <xdr:row>20</xdr:row>
      <xdr:rowOff>175260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6CC8C9CE-8A1C-4305-A0BC-8A1D00FDC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7620" y="4038600"/>
          <a:ext cx="2514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20</xdr:row>
      <xdr:rowOff>0</xdr:rowOff>
    </xdr:from>
    <xdr:to>
      <xdr:col>25</xdr:col>
      <xdr:colOff>289560</xdr:colOff>
      <xdr:row>20</xdr:row>
      <xdr:rowOff>800911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C0B2520E-7A7C-4480-AFB2-3DB44AD61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66820" y="4038600"/>
          <a:ext cx="289560" cy="800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30</xdr:row>
      <xdr:rowOff>0</xdr:rowOff>
    </xdr:from>
    <xdr:to>
      <xdr:col>4</xdr:col>
      <xdr:colOff>91440</xdr:colOff>
      <xdr:row>30</xdr:row>
      <xdr:rowOff>160020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689A8045-3EAC-4392-B8C5-FBC59AC4D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22920"/>
          <a:ext cx="9144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99060</xdr:colOff>
      <xdr:row>28</xdr:row>
      <xdr:rowOff>266700</xdr:rowOff>
    </xdr:from>
    <xdr:to>
      <xdr:col>3</xdr:col>
      <xdr:colOff>495300</xdr:colOff>
      <xdr:row>29</xdr:row>
      <xdr:rowOff>60960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5949C3DC-7941-4BE3-B63B-8A778FECA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260" y="7795260"/>
          <a:ext cx="100584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38F52-9FAF-4B5D-88EC-A50F95B7D2D9}">
  <dimension ref="A1:AC38"/>
  <sheetViews>
    <sheetView tabSelected="1" topLeftCell="A24" zoomScaleNormal="100" workbookViewId="0">
      <selection activeCell="J38" sqref="J38"/>
    </sheetView>
  </sheetViews>
  <sheetFormatPr defaultRowHeight="14.4" x14ac:dyDescent="0.3"/>
  <cols>
    <col min="3" max="3" width="8" customWidth="1"/>
    <col min="11" max="11" width="12" bestFit="1" customWidth="1"/>
    <col min="12" max="12" width="37.21875" customWidth="1"/>
    <col min="14" max="14" width="12" bestFit="1" customWidth="1"/>
    <col min="15" max="15" width="13.5546875" customWidth="1"/>
    <col min="16" max="16" width="12" bestFit="1" customWidth="1"/>
    <col min="21" max="21" width="19" customWidth="1"/>
    <col min="28" max="28" width="14.5546875" customWidth="1"/>
  </cols>
  <sheetData>
    <row r="1" spans="1:26" x14ac:dyDescent="0.3">
      <c r="A1" t="s">
        <v>1</v>
      </c>
      <c r="B1" t="s">
        <v>0</v>
      </c>
    </row>
    <row r="2" spans="1:26" ht="15" thickBot="1" x14ac:dyDescent="0.35">
      <c r="A2">
        <v>3.3222</v>
      </c>
      <c r="B2">
        <v>-0.12731999999999999</v>
      </c>
      <c r="N2" t="s">
        <v>5</v>
      </c>
      <c r="O2" t="s">
        <v>6</v>
      </c>
    </row>
    <row r="3" spans="1:26" ht="16.2" thickBot="1" x14ac:dyDescent="0.35">
      <c r="A3">
        <v>3.24675</v>
      </c>
      <c r="B3">
        <v>-0.35969000000000001</v>
      </c>
      <c r="N3" s="2">
        <v>32</v>
      </c>
      <c r="O3" s="2">
        <v>1.1339999999999999</v>
      </c>
    </row>
    <row r="4" spans="1:26" ht="16.2" thickBot="1" x14ac:dyDescent="0.35">
      <c r="A4">
        <v>3.1745999999999999</v>
      </c>
      <c r="B4">
        <v>-0.629</v>
      </c>
      <c r="N4" s="3">
        <v>37</v>
      </c>
      <c r="O4" s="3">
        <v>1.1343000000000001</v>
      </c>
      <c r="W4" t="s">
        <v>9</v>
      </c>
      <c r="Z4" t="s">
        <v>15</v>
      </c>
    </row>
    <row r="5" spans="1:26" ht="16.2" thickBot="1" x14ac:dyDescent="0.35">
      <c r="A5">
        <v>3.125</v>
      </c>
      <c r="B5">
        <v>-0.62448000000000004</v>
      </c>
      <c r="N5" s="3">
        <v>42</v>
      </c>
      <c r="O5" s="3">
        <v>1.1755</v>
      </c>
      <c r="W5">
        <f>(T9-T14)/((T14*U9) - (T9*U14))</f>
        <v>3.8421928226253662E-3</v>
      </c>
      <c r="X5" s="4" t="s">
        <v>10</v>
      </c>
      <c r="Z5">
        <f xml:space="preserve"> (T14 - T9)/((T9*U14)-(T14*U9))</f>
        <v>3.8421928226253662E-3</v>
      </c>
    </row>
    <row r="6" spans="1:26" ht="16.2" thickBot="1" x14ac:dyDescent="0.35">
      <c r="A6">
        <v>3.0769000000000002</v>
      </c>
      <c r="B6">
        <v>-1.004</v>
      </c>
      <c r="N6" s="3">
        <v>47</v>
      </c>
      <c r="O6" s="3">
        <v>1.1788000000000001</v>
      </c>
      <c r="W6">
        <f t="shared" ref="W6:W9" si="0">(T10-T15)/((T15*U10) - (T10*U15))</f>
        <v>4.8216809377338099E-3</v>
      </c>
      <c r="X6" t="s">
        <v>11</v>
      </c>
      <c r="Z6">
        <f t="shared" ref="Z6:Z9" si="1" xml:space="preserve"> (T15 - T10)/((T10*U15)-(T15*U10))</f>
        <v>4.8216809377338099E-3</v>
      </c>
    </row>
    <row r="7" spans="1:26" ht="16.2" thickBot="1" x14ac:dyDescent="0.35">
      <c r="A7">
        <v>3.0303</v>
      </c>
      <c r="B7">
        <v>-1.1568000000000001</v>
      </c>
      <c r="N7" s="3">
        <v>52</v>
      </c>
      <c r="O7" s="3">
        <v>1.2136</v>
      </c>
      <c r="W7">
        <f t="shared" si="0"/>
        <v>3.6932264655036933E-3</v>
      </c>
      <c r="X7" t="s">
        <v>12</v>
      </c>
      <c r="Z7">
        <f t="shared" si="1"/>
        <v>3.6932264655036933E-3</v>
      </c>
    </row>
    <row r="8" spans="1:26" ht="16.2" thickBot="1" x14ac:dyDescent="0.35">
      <c r="A8">
        <v>2.9849999999999999</v>
      </c>
      <c r="B8">
        <v>-1.3774</v>
      </c>
      <c r="N8" s="3">
        <v>57</v>
      </c>
      <c r="O8" s="3">
        <v>1.2314000000000001</v>
      </c>
      <c r="T8" t="s">
        <v>6</v>
      </c>
      <c r="U8" t="s">
        <v>5</v>
      </c>
      <c r="W8">
        <f t="shared" si="0"/>
        <v>4.4760183968462547E-3</v>
      </c>
      <c r="X8" t="s">
        <v>13</v>
      </c>
      <c r="Z8">
        <f t="shared" si="1"/>
        <v>4.4760183968462547E-3</v>
      </c>
    </row>
    <row r="9" spans="1:26" ht="16.2" thickBot="1" x14ac:dyDescent="0.35">
      <c r="A9">
        <v>2.9409999999999998</v>
      </c>
      <c r="B9">
        <v>-1.5589999999999999</v>
      </c>
      <c r="N9" s="3">
        <v>62</v>
      </c>
      <c r="O9" s="3">
        <v>1.2492000000000001</v>
      </c>
      <c r="S9">
        <v>1</v>
      </c>
      <c r="T9" s="2">
        <v>1134</v>
      </c>
      <c r="U9" s="2">
        <v>32</v>
      </c>
      <c r="W9">
        <f t="shared" si="0"/>
        <v>3.7857875226752899E-3</v>
      </c>
      <c r="X9" t="s">
        <v>14</v>
      </c>
      <c r="Z9">
        <f t="shared" si="1"/>
        <v>3.7857875226752899E-3</v>
      </c>
    </row>
    <row r="10" spans="1:26" ht="16.2" thickBot="1" x14ac:dyDescent="0.35">
      <c r="N10" s="3">
        <v>67</v>
      </c>
      <c r="O10" s="3">
        <v>1.2694000000000001</v>
      </c>
      <c r="S10">
        <v>2</v>
      </c>
      <c r="T10" s="3">
        <v>1134</v>
      </c>
      <c r="U10" s="3">
        <v>37</v>
      </c>
    </row>
    <row r="11" spans="1:26" ht="16.2" thickBot="1" x14ac:dyDescent="0.35">
      <c r="N11" s="3">
        <v>72</v>
      </c>
      <c r="O11" s="3">
        <v>1.288</v>
      </c>
      <c r="S11">
        <v>3</v>
      </c>
      <c r="T11" s="3">
        <v>1176</v>
      </c>
      <c r="U11" s="3">
        <v>42</v>
      </c>
    </row>
    <row r="12" spans="1:26" ht="16.2" thickBot="1" x14ac:dyDescent="0.35">
      <c r="N12" s="3">
        <v>77</v>
      </c>
      <c r="O12" s="3">
        <v>1.31</v>
      </c>
      <c r="S12">
        <v>4</v>
      </c>
      <c r="T12" s="3">
        <v>1179</v>
      </c>
      <c r="U12" s="3">
        <v>47</v>
      </c>
      <c r="Y12">
        <f>AVERAGE(Z5:Z9)</f>
        <v>4.1237812290768833E-3</v>
      </c>
    </row>
    <row r="13" spans="1:26" ht="16.2" thickBot="1" x14ac:dyDescent="0.35">
      <c r="N13" s="1" t="s">
        <v>7</v>
      </c>
      <c r="S13">
        <v>5</v>
      </c>
      <c r="T13" s="3">
        <v>1214</v>
      </c>
      <c r="U13" s="3">
        <v>52</v>
      </c>
      <c r="Y13">
        <v>4.1240000000000001E-3</v>
      </c>
    </row>
    <row r="14" spans="1:26" ht="16.2" thickBot="1" x14ac:dyDescent="0.35">
      <c r="B14" s="1" t="s">
        <v>2</v>
      </c>
      <c r="S14">
        <v>6</v>
      </c>
      <c r="T14" s="3">
        <v>1231</v>
      </c>
      <c r="U14" s="3">
        <v>57</v>
      </c>
    </row>
    <row r="15" spans="1:26" ht="16.2" thickBot="1" x14ac:dyDescent="0.35">
      <c r="A15" t="s">
        <v>3</v>
      </c>
      <c r="B15" t="s">
        <v>4</v>
      </c>
      <c r="N15" t="s">
        <v>3</v>
      </c>
      <c r="O15" t="s">
        <v>8</v>
      </c>
      <c r="S15">
        <v>7</v>
      </c>
      <c r="T15" s="3">
        <v>1250</v>
      </c>
      <c r="U15" s="3">
        <v>62</v>
      </c>
    </row>
    <row r="16" spans="1:26" ht="16.2" thickBot="1" x14ac:dyDescent="0.35">
      <c r="A16">
        <v>2.91</v>
      </c>
      <c r="B16">
        <f xml:space="preserve"> 3.7882*A16 - 12.646</f>
        <v>-1.6223380000000009</v>
      </c>
      <c r="N16">
        <v>31</v>
      </c>
      <c r="O16">
        <f xml:space="preserve"> 0.0041*N16 + 0.9966</f>
        <v>1.1237000000000001</v>
      </c>
      <c r="S16">
        <v>8</v>
      </c>
      <c r="T16" s="3">
        <v>1270</v>
      </c>
      <c r="U16" s="3">
        <v>67</v>
      </c>
    </row>
    <row r="17" spans="1:29" ht="16.2" thickBot="1" x14ac:dyDescent="0.35">
      <c r="A17">
        <v>3</v>
      </c>
      <c r="B17">
        <f t="shared" ref="B17:B21" si="2" xml:space="preserve"> 3.7882*A17 - 12.646</f>
        <v>-1.2814000000000014</v>
      </c>
      <c r="N17">
        <v>40</v>
      </c>
      <c r="O17">
        <f t="shared" ref="O17:O18" si="3" xml:space="preserve"> 0.0041*N17 + 0.9966</f>
        <v>1.1606000000000001</v>
      </c>
      <c r="S17">
        <v>9</v>
      </c>
      <c r="T17" s="3">
        <v>1288</v>
      </c>
      <c r="U17" s="3">
        <v>72</v>
      </c>
    </row>
    <row r="18" spans="1:29" ht="16.2" thickBot="1" x14ac:dyDescent="0.35">
      <c r="A18">
        <v>3.1</v>
      </c>
      <c r="B18">
        <f t="shared" si="2"/>
        <v>-0.90258000000000038</v>
      </c>
      <c r="N18">
        <v>78</v>
      </c>
      <c r="O18">
        <f t="shared" si="3"/>
        <v>1.3164</v>
      </c>
      <c r="S18">
        <v>10</v>
      </c>
      <c r="T18" s="3">
        <v>1310</v>
      </c>
      <c r="U18" s="3">
        <v>77</v>
      </c>
    </row>
    <row r="19" spans="1:29" x14ac:dyDescent="0.3">
      <c r="A19">
        <v>3.2</v>
      </c>
      <c r="B19">
        <f t="shared" si="2"/>
        <v>-0.52376000000000111</v>
      </c>
    </row>
    <row r="20" spans="1:29" ht="15" thickBot="1" x14ac:dyDescent="0.35">
      <c r="A20">
        <v>3.3</v>
      </c>
      <c r="B20">
        <f t="shared" si="2"/>
        <v>-0.14494000000000185</v>
      </c>
    </row>
    <row r="21" spans="1:29" ht="67.8" customHeight="1" thickBot="1" x14ac:dyDescent="0.35">
      <c r="A21">
        <v>3.33</v>
      </c>
      <c r="B21">
        <f t="shared" si="2"/>
        <v>-3.1294000000000821E-2</v>
      </c>
      <c r="T21" s="6"/>
      <c r="U21" s="8"/>
      <c r="V21" s="9"/>
      <c r="X21" s="10"/>
      <c r="Y21" s="11"/>
      <c r="Z21" s="12"/>
      <c r="AA21" s="13"/>
      <c r="AB21" t="s">
        <v>16</v>
      </c>
      <c r="AC21" t="s">
        <v>19</v>
      </c>
    </row>
    <row r="22" spans="1:29" ht="31.8" customHeight="1" thickBot="1" x14ac:dyDescent="0.35">
      <c r="N22" t="s">
        <v>20</v>
      </c>
      <c r="S22">
        <v>1</v>
      </c>
      <c r="T22" s="3">
        <v>301</v>
      </c>
      <c r="U22" s="7">
        <v>0.88044999999999995</v>
      </c>
      <c r="V22" s="5"/>
      <c r="W22">
        <v>1</v>
      </c>
      <c r="X22" s="3">
        <v>-0.12731999999999999</v>
      </c>
      <c r="Y22" s="5"/>
      <c r="Z22" s="3">
        <v>3.32226</v>
      </c>
      <c r="AA22" s="5"/>
      <c r="AB22">
        <f>2*1.38*(X22-X26)/(Z22-Z26)</f>
        <v>9.8685693323550954</v>
      </c>
    </row>
    <row r="23" spans="1:29" ht="31.8" customHeight="1" thickBot="1" x14ac:dyDescent="0.35">
      <c r="N23" t="s">
        <v>16</v>
      </c>
      <c r="O23" t="s">
        <v>17</v>
      </c>
      <c r="P23" t="s">
        <v>18</v>
      </c>
      <c r="S23">
        <v>2</v>
      </c>
      <c r="T23" s="3">
        <v>308</v>
      </c>
      <c r="U23" s="7">
        <v>0.69789000000000001</v>
      </c>
      <c r="V23" s="5"/>
      <c r="W23">
        <v>2</v>
      </c>
      <c r="X23" s="3">
        <v>-0.35969000000000001</v>
      </c>
      <c r="Y23" s="5"/>
      <c r="Z23" s="3">
        <v>3.24675</v>
      </c>
      <c r="AA23" s="5"/>
      <c r="AB23">
        <f t="shared" ref="AB23:AB25" si="4">2*1.38*(10^-23)*(X23-X27)/(Z23-Z27)</f>
        <v>1.016501178101178E-22</v>
      </c>
    </row>
    <row r="24" spans="1:29" ht="16.2" thickBot="1" x14ac:dyDescent="0.35">
      <c r="N24">
        <f>(2*1.38)*(10^-4) * O24*P24</f>
        <v>0.9868685108615769</v>
      </c>
      <c r="O24">
        <f>(T22*T26)/(T26-T22)</f>
        <v>4076.0416666666665</v>
      </c>
      <c r="P24">
        <f>LN(U22/U26)</f>
        <v>0.87722620105696913</v>
      </c>
      <c r="S24">
        <v>3</v>
      </c>
      <c r="T24" s="3">
        <v>315</v>
      </c>
      <c r="U24" s="7">
        <v>0.53312000000000004</v>
      </c>
      <c r="V24" s="5"/>
      <c r="W24">
        <v>3</v>
      </c>
      <c r="X24" s="3">
        <v>-0.629</v>
      </c>
      <c r="Y24" s="5"/>
      <c r="Z24" s="3">
        <v>3.1745999999999999</v>
      </c>
      <c r="AA24" s="5"/>
      <c r="AB24">
        <f t="shared" si="4"/>
        <v>1.0899182187516491E-22</v>
      </c>
    </row>
    <row r="25" spans="1:29" ht="31.8" customHeight="1" thickBot="1" x14ac:dyDescent="0.35">
      <c r="N25">
        <f t="shared" ref="N25:N27" si="5">(2*1.38)*(10^-4) * O25*P25</f>
        <v>1.0164910000369682</v>
      </c>
      <c r="O25">
        <f t="shared" ref="O25:O27" si="6">(T23*T27)/(T27-T23)</f>
        <v>4620</v>
      </c>
      <c r="P25">
        <f t="shared" ref="P25:P27" si="7">LN(U23/U27)</f>
        <v>0.79717281513658966</v>
      </c>
      <c r="S25">
        <v>4</v>
      </c>
      <c r="T25" s="3">
        <v>320</v>
      </c>
      <c r="U25" s="7">
        <v>0.53554000000000002</v>
      </c>
      <c r="V25" s="5"/>
      <c r="W25">
        <v>4</v>
      </c>
      <c r="X25" s="3">
        <v>-0.62448000000000004</v>
      </c>
      <c r="Y25" s="5"/>
      <c r="Z25" s="3">
        <v>3.125</v>
      </c>
      <c r="AA25" s="5"/>
      <c r="AB25">
        <f t="shared" si="4"/>
        <v>1.4042937656403013E-22</v>
      </c>
    </row>
    <row r="26" spans="1:29" ht="31.8" customHeight="1" thickBot="1" x14ac:dyDescent="0.35">
      <c r="N26">
        <f t="shared" si="5"/>
        <v>1.0899190225477393</v>
      </c>
      <c r="O26">
        <f t="shared" si="6"/>
        <v>5276.25</v>
      </c>
      <c r="P26">
        <f t="shared" si="7"/>
        <v>0.74844481701069476</v>
      </c>
      <c r="S26">
        <v>5</v>
      </c>
      <c r="T26" s="3">
        <v>325</v>
      </c>
      <c r="U26" s="7">
        <v>0.36620999999999998</v>
      </c>
      <c r="V26" s="5"/>
      <c r="W26">
        <v>5</v>
      </c>
      <c r="X26" s="3">
        <v>-1.0045500000000001</v>
      </c>
      <c r="Y26" s="5"/>
      <c r="Z26" s="3">
        <v>3.0769199999999999</v>
      </c>
      <c r="AA26" s="5"/>
    </row>
    <row r="27" spans="1:29" ht="31.8" customHeight="1" thickBot="1" x14ac:dyDescent="0.35">
      <c r="N27">
        <f t="shared" si="5"/>
        <v>1.4042709031126879</v>
      </c>
      <c r="O27">
        <f t="shared" si="6"/>
        <v>5440</v>
      </c>
      <c r="P27">
        <f t="shared" si="7"/>
        <v>0.93528273065369771</v>
      </c>
      <c r="S27">
        <v>6</v>
      </c>
      <c r="T27" s="3">
        <v>330</v>
      </c>
      <c r="U27" s="7">
        <v>0.31447000000000003</v>
      </c>
      <c r="V27" s="5"/>
      <c r="W27">
        <v>6</v>
      </c>
      <c r="X27" s="3">
        <v>-1.1568700000000001</v>
      </c>
      <c r="Y27" s="5"/>
      <c r="Z27" s="3">
        <v>3.0303</v>
      </c>
      <c r="AA27" s="5"/>
    </row>
    <row r="28" spans="1:29" ht="31.8" customHeight="1" thickBot="1" x14ac:dyDescent="0.35">
      <c r="S28">
        <v>7</v>
      </c>
      <c r="T28" s="3">
        <v>335</v>
      </c>
      <c r="U28" s="7">
        <v>0.25222</v>
      </c>
      <c r="V28" s="5"/>
      <c r="W28">
        <v>7</v>
      </c>
      <c r="X28" s="3">
        <v>-1.3774500000000001</v>
      </c>
      <c r="Y28" s="5"/>
      <c r="Z28" s="3">
        <v>2.9850699999999999</v>
      </c>
      <c r="AA28" s="5"/>
    </row>
    <row r="29" spans="1:29" ht="31.8" customHeight="1" thickBot="1" x14ac:dyDescent="0.35">
      <c r="S29">
        <v>8</v>
      </c>
      <c r="T29" s="3">
        <v>340</v>
      </c>
      <c r="U29" s="7">
        <v>0.21018600000000001</v>
      </c>
      <c r="V29" s="5"/>
      <c r="W29">
        <v>8</v>
      </c>
      <c r="X29" s="3">
        <v>-1.55976</v>
      </c>
      <c r="Y29" s="5"/>
      <c r="Z29" s="3">
        <v>2.9411800000000001</v>
      </c>
      <c r="AA29" s="5"/>
    </row>
    <row r="30" spans="1:29" ht="15" thickBot="1" x14ac:dyDescent="0.35">
      <c r="L30" t="s">
        <v>16</v>
      </c>
      <c r="N30" t="s">
        <v>24</v>
      </c>
      <c r="P30" t="s">
        <v>23</v>
      </c>
    </row>
    <row r="31" spans="1:29" ht="16.2" thickBot="1" x14ac:dyDescent="0.35">
      <c r="C31" t="s">
        <v>23</v>
      </c>
      <c r="E31" s="15"/>
      <c r="G31" t="s">
        <v>22</v>
      </c>
      <c r="H31">
        <v>4.1240000000000001E-3</v>
      </c>
      <c r="L31">
        <f>0.9867*(10^-19)</f>
        <v>9.8669999999999999E-20</v>
      </c>
      <c r="N31">
        <f>1.124*(10^-19)</f>
        <v>1.124E-19</v>
      </c>
      <c r="O31">
        <f>L31-$N$31</f>
        <v>-1.3730000000000001E-20</v>
      </c>
      <c r="P31">
        <f>O31*O31</f>
        <v>1.8851290000000002E-40</v>
      </c>
    </row>
    <row r="32" spans="1:29" ht="17.399999999999999" thickBot="1" x14ac:dyDescent="0.35">
      <c r="C32">
        <f>D32*D32</f>
        <v>7.9524000000000071E-8</v>
      </c>
      <c r="D32">
        <f>E32 - $H$31</f>
        <v>-2.8200000000000013E-4</v>
      </c>
      <c r="E32" s="14">
        <v>3.8419999999999999E-3</v>
      </c>
      <c r="L32">
        <f>1.0164*(10^-19)</f>
        <v>1.0164E-19</v>
      </c>
      <c r="O32">
        <f t="shared" ref="O32:O34" si="8">L32-$N$31</f>
        <v>-1.0760000000000001E-20</v>
      </c>
      <c r="P32">
        <f t="shared" ref="P32:P34" si="9">O32*O32</f>
        <v>1.1577760000000002E-40</v>
      </c>
    </row>
    <row r="33" spans="3:16" ht="17.399999999999999" thickBot="1" x14ac:dyDescent="0.35">
      <c r="C33">
        <f t="shared" ref="C33:C36" si="10">D33*D33</f>
        <v>4.8720399999999976E-7</v>
      </c>
      <c r="D33">
        <f t="shared" ref="D33:D36" si="11">E33 - $H$31</f>
        <v>6.9799999999999984E-4</v>
      </c>
      <c r="E33" s="14">
        <v>4.8219999999999999E-3</v>
      </c>
      <c r="G33" t="s">
        <v>21</v>
      </c>
      <c r="H33">
        <f>SQRT(SUM(C32:C36)/20)</f>
        <v>2.2255752065477365E-4</v>
      </c>
      <c r="J33" t="s">
        <v>25</v>
      </c>
      <c r="K33">
        <f>SQRT(SUM(P31:P34)/12)</f>
        <v>9.5787916774507569E-21</v>
      </c>
      <c r="L33">
        <f>1.0899*(10^-19)</f>
        <v>1.0899E-19</v>
      </c>
      <c r="O33">
        <f t="shared" si="8"/>
        <v>-3.4099999999999976E-21</v>
      </c>
      <c r="P33">
        <f t="shared" si="9"/>
        <v>1.1628099999999984E-41</v>
      </c>
    </row>
    <row r="34" spans="3:16" ht="17.399999999999999" thickBot="1" x14ac:dyDescent="0.35">
      <c r="C34">
        <f t="shared" si="10"/>
        <v>1.8576099999999997E-7</v>
      </c>
      <c r="D34">
        <f t="shared" si="11"/>
        <v>-4.3099999999999996E-4</v>
      </c>
      <c r="E34" s="14">
        <v>3.6930000000000001E-3</v>
      </c>
      <c r="L34">
        <f>1.4042*(10^-19)</f>
        <v>1.4041999999999998E-19</v>
      </c>
      <c r="O34">
        <f t="shared" si="8"/>
        <v>2.8019999999999977E-20</v>
      </c>
      <c r="P34">
        <f t="shared" si="9"/>
        <v>7.8512039999999869E-40</v>
      </c>
    </row>
    <row r="35" spans="3:16" ht="17.399999999999999" thickBot="1" x14ac:dyDescent="0.35">
      <c r="C35">
        <f t="shared" si="10"/>
        <v>1.2390399999999992E-7</v>
      </c>
      <c r="D35">
        <f t="shared" si="11"/>
        <v>3.5199999999999988E-4</v>
      </c>
      <c r="E35" s="14">
        <v>4.4759999999999999E-3</v>
      </c>
    </row>
    <row r="36" spans="3:16" ht="17.399999999999999" thickBot="1" x14ac:dyDescent="0.35">
      <c r="C36">
        <f t="shared" si="10"/>
        <v>1.1424400000000013E-7</v>
      </c>
      <c r="D36">
        <f t="shared" si="11"/>
        <v>-3.3800000000000019E-4</v>
      </c>
      <c r="E36" s="14">
        <v>3.7859999999999999E-3</v>
      </c>
    </row>
    <row r="37" spans="3:16" x14ac:dyDescent="0.3">
      <c r="J37" t="s">
        <v>26</v>
      </c>
    </row>
    <row r="38" spans="3:16" x14ac:dyDescent="0.3">
      <c r="J38" t="s">
        <v>27</v>
      </c>
    </row>
  </sheetData>
  <mergeCells count="3">
    <mergeCell ref="U21:V21"/>
    <mergeCell ref="X21:Y21"/>
    <mergeCell ref="Z21:AA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 Kelvin</dc:creator>
  <cp:lastModifiedBy>Lord Kelvin</cp:lastModifiedBy>
  <dcterms:created xsi:type="dcterms:W3CDTF">2021-04-15T14:39:55Z</dcterms:created>
  <dcterms:modified xsi:type="dcterms:W3CDTF">2021-04-16T13:38:10Z</dcterms:modified>
</cp:coreProperties>
</file>