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NeoWorkingSpace\itmo\ФИЗИКА\Лабораторная 3.10\"/>
    </mc:Choice>
  </mc:AlternateContent>
  <xr:revisionPtr revIDLastSave="0" documentId="13_ncr:1_{55DF62A1-F3FA-4579-9F55-9693F5819B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7" i="1"/>
  <c r="F15" i="1" l="1"/>
  <c r="F16" i="1"/>
  <c r="F3" i="1" l="1"/>
  <c r="G3" i="1" s="1"/>
  <c r="H4" i="1"/>
  <c r="H3" i="1"/>
  <c r="J3" i="1" s="1"/>
  <c r="J4" i="1" l="1"/>
  <c r="I3" i="1"/>
  <c r="S3" i="1"/>
  <c r="R3" i="1"/>
  <c r="F4" i="1" l="1"/>
  <c r="I4" i="1" s="1"/>
  <c r="F5" i="1"/>
  <c r="H5" i="1" l="1"/>
  <c r="H6" i="1"/>
  <c r="H7" i="1"/>
  <c r="H8" i="1"/>
  <c r="H9" i="1"/>
  <c r="H10" i="1"/>
  <c r="H11" i="1"/>
  <c r="H12" i="1"/>
  <c r="H13" i="1"/>
  <c r="H14" i="1"/>
  <c r="J14" i="1" s="1"/>
  <c r="H15" i="1"/>
  <c r="H16" i="1"/>
  <c r="J16" i="1" s="1"/>
  <c r="G4" i="1"/>
  <c r="G5" i="1"/>
  <c r="G15" i="1"/>
  <c r="G16" i="1"/>
  <c r="J7" i="1" l="1"/>
  <c r="J10" i="1"/>
  <c r="J6" i="1"/>
  <c r="J11" i="1"/>
  <c r="J13" i="1"/>
  <c r="J9" i="1"/>
  <c r="I5" i="1"/>
  <c r="J5" i="1"/>
  <c r="I15" i="1"/>
  <c r="J15" i="1"/>
  <c r="I12" i="1"/>
  <c r="J12" i="1"/>
  <c r="J8" i="1"/>
  <c r="O3" i="1"/>
  <c r="I16" i="1"/>
  <c r="Q3" i="1"/>
  <c r="P3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I8" i="1" l="1"/>
  <c r="I9" i="1"/>
  <c r="I11" i="1"/>
  <c r="I10" i="1"/>
  <c r="I13" i="1"/>
  <c r="I6" i="1"/>
  <c r="N3" i="1" s="1"/>
  <c r="I7" i="1"/>
  <c r="I14" i="1"/>
  <c r="M7" i="1" l="1"/>
  <c r="M13" i="1"/>
  <c r="M15" i="1"/>
  <c r="M12" i="1"/>
  <c r="C24" i="1"/>
  <c r="D24" i="1" s="1"/>
  <c r="M11" i="1"/>
  <c r="M16" i="1"/>
  <c r="M9" i="1"/>
  <c r="M8" i="1"/>
  <c r="C27" i="1"/>
  <c r="D27" i="1" s="1"/>
  <c r="M10" i="1"/>
  <c r="M17" i="1"/>
  <c r="C25" i="1"/>
  <c r="D25" i="1" s="1"/>
  <c r="M14" i="1"/>
  <c r="C26" i="1"/>
  <c r="D26" i="1" s="1"/>
  <c r="N7" i="1" l="1"/>
  <c r="I18" i="1"/>
</calcChain>
</file>

<file path=xl/sharedStrings.xml><?xml version="1.0" encoding="utf-8"?>
<sst xmlns="http://schemas.openxmlformats.org/spreadsheetml/2006/main" count="27" uniqueCount="27">
  <si>
    <t>Т, мс</t>
  </si>
  <si>
    <t>n</t>
  </si>
  <si>
    <t>λ</t>
  </si>
  <si>
    <t>Q</t>
  </si>
  <si>
    <t>R, Ом</t>
  </si>
  <si>
    <t>L, мГн</t>
  </si>
  <si>
    <r>
      <t>R</t>
    </r>
    <r>
      <rPr>
        <b/>
        <vertAlign val="subscript"/>
        <sz val="14"/>
        <color theme="1"/>
        <rFont val="Times New Roman"/>
        <family val="1"/>
        <charset val="204"/>
      </rPr>
      <t>м</t>
    </r>
    <r>
      <rPr>
        <b/>
        <sz val="14"/>
        <color theme="1"/>
        <rFont val="Times New Roman"/>
        <family val="1"/>
        <charset val="204"/>
      </rPr>
      <t>, Ом</t>
    </r>
  </si>
  <si>
    <r>
      <t>2U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, дел</t>
    </r>
  </si>
  <si>
    <r>
      <t>2U</t>
    </r>
    <r>
      <rPr>
        <b/>
        <vertAlign val="subscript"/>
        <sz val="14"/>
        <color theme="1"/>
        <rFont val="Times New Roman"/>
        <family val="1"/>
        <charset val="204"/>
      </rPr>
      <t>i+n</t>
    </r>
    <r>
      <rPr>
        <b/>
        <sz val="14"/>
        <color theme="1"/>
        <rFont val="Times New Roman"/>
        <family val="1"/>
        <charset val="204"/>
      </rPr>
      <t>, дел</t>
    </r>
  </si>
  <si>
    <t>R0</t>
  </si>
  <si>
    <t>Таблица 1</t>
  </si>
  <si>
    <t>Таблица 2</t>
  </si>
  <si>
    <t>С, мкФ</t>
  </si>
  <si>
    <t>Tэксп, мс</t>
  </si>
  <si>
    <t>Tтеор, мс</t>
  </si>
  <si>
    <t>Сигма Т, %</t>
  </si>
  <si>
    <t>Lср</t>
  </si>
  <si>
    <t>Т0</t>
  </si>
  <si>
    <t>Т200</t>
  </si>
  <si>
    <t>Т400</t>
  </si>
  <si>
    <t>Q0</t>
  </si>
  <si>
    <t>Rкрит</t>
  </si>
  <si>
    <t>Дельта L</t>
  </si>
  <si>
    <t xml:space="preserve">(Li - Lср)^2 </t>
  </si>
  <si>
    <t>Qтеор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</si>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</sst>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en-US"/>
              <a:t>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757787029348072E-2"/>
          <c:y val="0.12078703703703704"/>
          <c:w val="0.85968674756127972"/>
          <c:h val="0.743486254949416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Лист1!$F$3:$F$16</c:f>
              <c:numCache>
                <c:formatCode>0.00</c:formatCode>
                <c:ptCount val="14"/>
                <c:pt idx="0">
                  <c:v>0.34657359027997264</c:v>
                </c:pt>
                <c:pt idx="1">
                  <c:v>0.34657359027997264</c:v>
                </c:pt>
                <c:pt idx="2">
                  <c:v>0.41333928659223401</c:v>
                </c:pt>
                <c:pt idx="3">
                  <c:v>0.47454027734857301</c:v>
                </c:pt>
                <c:pt idx="4">
                  <c:v>0.54930614433405489</c:v>
                </c:pt>
                <c:pt idx="5">
                  <c:v>0.61180154110599294</c:v>
                </c:pt>
                <c:pt idx="6">
                  <c:v>0.69314718055994529</c:v>
                </c:pt>
                <c:pt idx="7">
                  <c:v>0.72119191388546711</c:v>
                </c:pt>
                <c:pt idx="8">
                  <c:v>0.75203869838813708</c:v>
                </c:pt>
                <c:pt idx="9">
                  <c:v>0.82432931279369082</c:v>
                </c:pt>
                <c:pt idx="10">
                  <c:v>0.88730319500090271</c:v>
                </c:pt>
                <c:pt idx="11">
                  <c:v>1.4350845252893227</c:v>
                </c:pt>
                <c:pt idx="12">
                  <c:v>2.0794415416798357</c:v>
                </c:pt>
                <c:pt idx="13">
                  <c:v>2.5055259369907361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F-4E0E-866A-1CA75F05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5456"/>
        <c:axId val="1918936288"/>
      </c:scatterChart>
      <c:valAx>
        <c:axId val="19189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6288"/>
        <c:crosses val="autoZero"/>
        <c:crossBetween val="midCat"/>
      </c:valAx>
      <c:valAx>
        <c:axId val="19189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λ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757787029348072E-2"/>
          <c:y val="0.12078703703703704"/>
          <c:w val="0.85968674756127972"/>
          <c:h val="0.743486254949416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Лист1!$H$3:$H$16</c:f>
              <c:numCache>
                <c:formatCode>General</c:formatCode>
                <c:ptCount val="14"/>
                <c:pt idx="0">
                  <c:v>55.6</c:v>
                </c:pt>
                <c:pt idx="1">
                  <c:v>65.599999999999994</c:v>
                </c:pt>
                <c:pt idx="2">
                  <c:v>75.599999999999994</c:v>
                </c:pt>
                <c:pt idx="3">
                  <c:v>85.6</c:v>
                </c:pt>
                <c:pt idx="4">
                  <c:v>95.6</c:v>
                </c:pt>
                <c:pt idx="5">
                  <c:v>105.6</c:v>
                </c:pt>
                <c:pt idx="6">
                  <c:v>115.6</c:v>
                </c:pt>
                <c:pt idx="7">
                  <c:v>125.6</c:v>
                </c:pt>
                <c:pt idx="8">
                  <c:v>135.6</c:v>
                </c:pt>
                <c:pt idx="9">
                  <c:v>145.6</c:v>
                </c:pt>
                <c:pt idx="10">
                  <c:v>155.6</c:v>
                </c:pt>
                <c:pt idx="11">
                  <c:v>255.6</c:v>
                </c:pt>
                <c:pt idx="12">
                  <c:v>355.6</c:v>
                </c:pt>
                <c:pt idx="13">
                  <c:v>455.6</c:v>
                </c:pt>
              </c:numCache>
            </c:numRef>
          </c:xVal>
          <c:yVal>
            <c:numRef>
              <c:f>Лист1!$G$3:$G$16</c:f>
              <c:numCache>
                <c:formatCode>0.00</c:formatCode>
                <c:ptCount val="14"/>
                <c:pt idx="0">
                  <c:v>12.566370614359172</c:v>
                </c:pt>
                <c:pt idx="1">
                  <c:v>12.566370614359172</c:v>
                </c:pt>
                <c:pt idx="2">
                  <c:v>11.170107212763709</c:v>
                </c:pt>
                <c:pt idx="3">
                  <c:v>10.251512869608799</c:v>
                </c:pt>
                <c:pt idx="4">
                  <c:v>9.4247779607693776</c:v>
                </c:pt>
                <c:pt idx="5">
                  <c:v>8.9018184999154002</c:v>
                </c:pt>
                <c:pt idx="6">
                  <c:v>8.3775804095727811</c:v>
                </c:pt>
                <c:pt idx="7">
                  <c:v>8.2279807594018379</c:v>
                </c:pt>
                <c:pt idx="8">
                  <c:v>8.0783811092308966</c:v>
                </c:pt>
                <c:pt idx="9">
                  <c:v>7.7791818088890112</c:v>
                </c:pt>
                <c:pt idx="10">
                  <c:v>7.5660023073954186</c:v>
                </c:pt>
                <c:pt idx="11">
                  <c:v>6.6607805780437443</c:v>
                </c:pt>
                <c:pt idx="12">
                  <c:v>6.3829184072935483</c:v>
                </c:pt>
                <c:pt idx="13">
                  <c:v>6.3253366551522792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5-4D70-BA08-9989DED4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5456"/>
        <c:axId val="1918936288"/>
      </c:scatterChart>
      <c:valAx>
        <c:axId val="19189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6288"/>
        <c:crosses val="autoZero"/>
        <c:crossBetween val="midCat"/>
      </c:valAx>
      <c:valAx>
        <c:axId val="19189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Тэксп(С)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757787029348072E-2"/>
          <c:y val="0.12078703703703704"/>
          <c:w val="0.85968674756127972"/>
          <c:h val="0.7434862549494162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Лист1!$A$24:$A$27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Лист1!$B$24:$B$27</c:f>
              <c:numCache>
                <c:formatCode>General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0.13</c:v>
                </c:pt>
                <c:pt idx="3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A-44BE-9CEF-ACDC289F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5456"/>
        <c:axId val="1918936288"/>
      </c:scatterChart>
      <c:valAx>
        <c:axId val="19189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С,</a:t>
                </a:r>
                <a:r>
                  <a:rPr lang="ru-RU" baseline="0"/>
                  <a:t> мкФ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6288"/>
        <c:crosses val="autoZero"/>
        <c:crossBetween val="midCat"/>
      </c:valAx>
      <c:valAx>
        <c:axId val="19189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Тэксп,</a:t>
                </a:r>
                <a:r>
                  <a:rPr lang="ru-RU" b="1" baseline="0"/>
                  <a:t> мс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5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Ттеор</a:t>
            </a:r>
            <a:r>
              <a:rPr lang="en-US"/>
              <a:t>(C)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757787029348072E-2"/>
          <c:y val="0.12078703703703704"/>
          <c:w val="0.85968674756127972"/>
          <c:h val="0.743486254949416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Лист1!$A$24:$A$27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Лист1!$C$24:$C$27</c:f>
              <c:numCache>
                <c:formatCode>0.00</c:formatCode>
                <c:ptCount val="4"/>
                <c:pt idx="0">
                  <c:v>7.6471809906890467E-2</c:v>
                </c:pt>
                <c:pt idx="1">
                  <c:v>9.3717940177703518E-2</c:v>
                </c:pt>
                <c:pt idx="2">
                  <c:v>0.11193506035382268</c:v>
                </c:pt>
                <c:pt idx="3">
                  <c:v>0.36296288989559045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A-4BFF-9851-3005AEB1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5456"/>
        <c:axId val="1918936288"/>
      </c:scatterChart>
      <c:valAx>
        <c:axId val="19189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С, мкФ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6288"/>
        <c:crosses val="autoZero"/>
        <c:crossBetween val="midCat"/>
      </c:valAx>
      <c:valAx>
        <c:axId val="19189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Ттеор,</a:t>
                </a:r>
                <a:r>
                  <a:rPr lang="ru-RU" b="1" baseline="0"/>
                  <a:t> мс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515471</xdr:colOff>
      <xdr:row>4</xdr:row>
      <xdr:rowOff>-1</xdr:rowOff>
    </xdr:from>
    <xdr:to>
      <xdr:col>18</xdr:col>
      <xdr:colOff>62753</xdr:colOff>
      <xdr:row>20</xdr:row>
      <xdr:rowOff>17929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2CF2E2-E96D-465A-88B3-49DB962C4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986117</xdr:colOff>
      <xdr:row>22</xdr:row>
      <xdr:rowOff>188259</xdr:rowOff>
    </xdr:from>
    <xdr:to>
      <xdr:col>18</xdr:col>
      <xdr:colOff>533399</xdr:colOff>
      <xdr:row>42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08A2D5-8368-49F3-9FB6-7000461A6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385482</xdr:colOff>
      <xdr:row>36</xdr:row>
      <xdr:rowOff>116540</xdr:rowOff>
    </xdr:from>
    <xdr:to>
      <xdr:col>8</xdr:col>
      <xdr:colOff>587188</xdr:colOff>
      <xdr:row>57</xdr:row>
      <xdr:rowOff>170328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8A5704-4608-4ED3-8AAD-B2C47184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295836</xdr:colOff>
      <xdr:row>34</xdr:row>
      <xdr:rowOff>62752</xdr:rowOff>
    </xdr:from>
    <xdr:to>
      <xdr:col>17</xdr:col>
      <xdr:colOff>506506</xdr:colOff>
      <xdr:row>55</xdr:row>
      <xdr:rowOff>116541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406205-9792-4C3B-93DF-58A7F834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A23" zoomScale="85" zoomScaleNormal="85" workbookViewId="0">
      <selection activeCell="F33" sqref="F33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2.109375" bestFit="1" customWidth="1"/>
    <col min="4" max="4" width="14.109375" bestFit="1" customWidth="1"/>
    <col min="7" max="7" width="12.5546875" customWidth="1"/>
    <col min="8" max="8" width="8" bestFit="1" customWidth="1"/>
    <col min="9" max="9" width="15.6640625" bestFit="1" customWidth="1"/>
    <col min="10" max="10" width="15.6640625" customWidth="1"/>
    <col min="13" max="13" width="15.44140625" bestFit="1" customWidth="1"/>
    <col min="15" max="15" width="10.33203125" bestFit="1" customWidth="1"/>
    <col min="18" max="18" width="9.6640625" bestFit="1" customWidth="1"/>
    <col min="19" max="19" width="11" bestFit="1" customWidth="1"/>
  </cols>
  <sheetData>
    <row r="1" spans="1:21" ht="18" x14ac:dyDescent="0.3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17"/>
    </row>
    <row r="2" spans="1:21" ht="20.399999999999999" thickBot="1" x14ac:dyDescent="0.35">
      <c r="A2" s="4" t="s">
        <v>6</v>
      </c>
      <c r="B2" s="5" t="s">
        <v>0</v>
      </c>
      <c r="C2" s="5" t="s">
        <v>7</v>
      </c>
      <c r="D2" s="5" t="s">
        <v>8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18" t="s">
        <v>24</v>
      </c>
      <c r="M2" s="6" t="s">
        <v>9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</row>
    <row r="3" spans="1:21" ht="18" x14ac:dyDescent="0.3">
      <c r="A3" s="3">
        <v>0</v>
      </c>
      <c r="B3" s="3">
        <v>0.09</v>
      </c>
      <c r="C3" s="3">
        <v>4.8</v>
      </c>
      <c r="D3" s="3">
        <v>2.4</v>
      </c>
      <c r="E3" s="3">
        <v>2</v>
      </c>
      <c r="F3" s="7">
        <f>1/E3*LN(C3/D3)</f>
        <v>0.34657359027997264</v>
      </c>
      <c r="G3" s="7">
        <f>2 * PI() /(1 - EXP(-2 * F3))</f>
        <v>12.566370614359172</v>
      </c>
      <c r="H3" s="3">
        <f>A3+$M$3</f>
        <v>55.6</v>
      </c>
      <c r="I3" s="7">
        <f>PI()*PI()*POWER(H3, 2) / POWER(F3,2) * 0.022*POWER(10,-3)</f>
        <v>5.5883175778267828</v>
      </c>
      <c r="J3" s="19">
        <f>1/H3*SQRT(10/$A$24*POWER(10,3))</f>
        <v>12.125896806892843</v>
      </c>
      <c r="M3" s="1">
        <v>55.6</v>
      </c>
      <c r="N3" s="10">
        <f>AVERAGE(I3:I13)</f>
        <v>6.71613585259486</v>
      </c>
      <c r="O3" s="11">
        <f>2*PI() / SQRT(POWER(10,9)/A24/10 - $H$3*$H$3*POWER(10,6)/4/100)*1000</f>
        <v>9.3274026961148213E-2</v>
      </c>
      <c r="P3" s="11">
        <f>2*PI() / SQRT(POWER(10,9)/A24/10 - POWER(10,6)*$H$14*$H$14/4/100)*1000</f>
        <v>9.491556357702749E-2</v>
      </c>
      <c r="Q3" s="11">
        <f>2*PI() / SQRT(POWER(10,9)/A24/10 - POWER(10,6)*$H$16*$H$16/4/100)*1000</f>
        <v>9.901810409986897E-2</v>
      </c>
      <c r="R3" s="11">
        <f>1/H3*SQRT(10/A24*POWER(10,3))</f>
        <v>12.125896806892843</v>
      </c>
      <c r="S3" s="11">
        <f>2*SQRT(10/A24*POWER(10,3))</f>
        <v>1348.3997249264842</v>
      </c>
    </row>
    <row r="4" spans="1:21" ht="18" x14ac:dyDescent="0.3">
      <c r="A4" s="3">
        <v>10</v>
      </c>
      <c r="B4" s="3">
        <v>0.09</v>
      </c>
      <c r="C4" s="3">
        <v>4.4000000000000004</v>
      </c>
      <c r="D4" s="3">
        <v>2.2000000000000002</v>
      </c>
      <c r="E4" s="3">
        <v>2</v>
      </c>
      <c r="F4" s="7">
        <f>1/E4*LN(C4/D4)</f>
        <v>0.34657359027997264</v>
      </c>
      <c r="G4" s="7">
        <f t="shared" ref="G4:G16" si="0">2 * PI() /(1 - EXP(-2 * F4))</f>
        <v>12.566370614359172</v>
      </c>
      <c r="H4" s="3">
        <f t="shared" ref="H4:H16" si="1">A4+$M$3</f>
        <v>65.599999999999994</v>
      </c>
      <c r="I4" s="7">
        <f t="shared" ref="I4:I15" si="2">PI()*PI()*POWER(H4, 2) / POWER(F4,2) * 0.022*POWER(10,-3)</f>
        <v>7.7792758953071335</v>
      </c>
      <c r="J4" s="19">
        <f t="shared" ref="J4:J16" si="3">1/H4*SQRT(10/$A$24*POWER(10,3))</f>
        <v>10.277436927793325</v>
      </c>
    </row>
    <row r="5" spans="1:21" ht="18.600000000000001" thickBot="1" x14ac:dyDescent="0.35">
      <c r="A5" s="3">
        <v>20</v>
      </c>
      <c r="B5" s="3">
        <v>0.09</v>
      </c>
      <c r="C5" s="3">
        <v>6.4</v>
      </c>
      <c r="D5" s="3">
        <v>2.8</v>
      </c>
      <c r="E5" s="3">
        <v>2</v>
      </c>
      <c r="F5" s="7">
        <f>1/E5*LN(C5/D5)</f>
        <v>0.41333928659223401</v>
      </c>
      <c r="G5" s="7">
        <f t="shared" si="0"/>
        <v>11.170107212763709</v>
      </c>
      <c r="H5" s="3">
        <f t="shared" si="1"/>
        <v>75.599999999999994</v>
      </c>
      <c r="I5" s="7">
        <f t="shared" si="2"/>
        <v>7.2636121445941351</v>
      </c>
      <c r="J5" s="19">
        <f t="shared" si="3"/>
        <v>8.9179875987201349</v>
      </c>
    </row>
    <row r="6" spans="1:21" ht="18.600000000000001" thickBot="1" x14ac:dyDescent="0.35">
      <c r="A6" s="3">
        <v>30</v>
      </c>
      <c r="B6" s="3">
        <v>0.09</v>
      </c>
      <c r="C6" s="3">
        <v>6.2</v>
      </c>
      <c r="D6" s="3">
        <v>2.4</v>
      </c>
      <c r="E6" s="3">
        <v>2</v>
      </c>
      <c r="F6" s="7">
        <f t="shared" ref="F6:F14" si="4">1/E6*LN(C6/D6)</f>
        <v>0.47454027734857301</v>
      </c>
      <c r="G6" s="7">
        <f t="shared" si="0"/>
        <v>10.251512869608799</v>
      </c>
      <c r="H6" s="3">
        <f t="shared" si="1"/>
        <v>85.6</v>
      </c>
      <c r="I6" s="7">
        <f t="shared" si="2"/>
        <v>7.0651891946289389</v>
      </c>
      <c r="J6" s="19">
        <f t="shared" si="3"/>
        <v>7.8761666175612399</v>
      </c>
      <c r="M6" s="15" t="s">
        <v>23</v>
      </c>
      <c r="T6" t="s">
        <v>25</v>
      </c>
      <c r="U6" t="s">
        <v>26</v>
      </c>
    </row>
    <row r="7" spans="1:21" ht="18" x14ac:dyDescent="0.3">
      <c r="A7" s="3">
        <v>40</v>
      </c>
      <c r="B7" s="3">
        <v>0.09</v>
      </c>
      <c r="C7" s="3">
        <v>6</v>
      </c>
      <c r="D7" s="3">
        <v>2</v>
      </c>
      <c r="E7" s="3">
        <v>2</v>
      </c>
      <c r="F7" s="7">
        <f t="shared" si="4"/>
        <v>0.54930614433405489</v>
      </c>
      <c r="G7" s="7">
        <f t="shared" si="0"/>
        <v>9.4247779607693776</v>
      </c>
      <c r="H7" s="3">
        <f t="shared" si="1"/>
        <v>95.6</v>
      </c>
      <c r="I7" s="7">
        <f t="shared" si="2"/>
        <v>6.5767191600382153</v>
      </c>
      <c r="J7" s="19">
        <f t="shared" si="3"/>
        <v>7.0522998165611108</v>
      </c>
      <c r="M7" s="14">
        <f>POWER(I3-$N$3,2)</f>
        <v>1.2719740609008421</v>
      </c>
      <c r="N7">
        <f>SQRT(SUM(M7:M20)/13/12)</f>
        <v>0.14983144071907625</v>
      </c>
      <c r="T7">
        <v>0</v>
      </c>
      <c r="U7">
        <f xml:space="preserve"> 0.0056 * T7+0.3235</f>
        <v>0.32350000000000001</v>
      </c>
    </row>
    <row r="8" spans="1:21" ht="18" x14ac:dyDescent="0.3">
      <c r="A8" s="3">
        <v>50</v>
      </c>
      <c r="B8" s="3">
        <v>0.09</v>
      </c>
      <c r="C8" s="3">
        <v>5.9</v>
      </c>
      <c r="D8" s="3">
        <v>3.2</v>
      </c>
      <c r="E8" s="3">
        <v>1</v>
      </c>
      <c r="F8" s="7">
        <f t="shared" si="4"/>
        <v>0.61180154110599294</v>
      </c>
      <c r="G8" s="7">
        <f t="shared" si="0"/>
        <v>8.9018184999154002</v>
      </c>
      <c r="H8" s="3">
        <f t="shared" si="1"/>
        <v>105.6</v>
      </c>
      <c r="I8" s="7">
        <f t="shared" si="2"/>
        <v>6.4688805133162015</v>
      </c>
      <c r="J8" s="19">
        <f t="shared" si="3"/>
        <v>6.3844683945382776</v>
      </c>
      <c r="M8" s="14">
        <f t="shared" ref="M8:M17" si="5">POWER(I4-$N$3,2)</f>
        <v>1.1302667504182546</v>
      </c>
      <c r="T8">
        <v>10</v>
      </c>
      <c r="U8">
        <f t="shared" ref="U8:U27" si="6" xml:space="preserve"> 0.0056 * T8+0.3235</f>
        <v>0.3795</v>
      </c>
    </row>
    <row r="9" spans="1:21" ht="18" x14ac:dyDescent="0.3">
      <c r="A9" s="3">
        <v>60</v>
      </c>
      <c r="B9" s="3">
        <v>0.09</v>
      </c>
      <c r="C9" s="3">
        <v>11.2</v>
      </c>
      <c r="D9" s="3">
        <v>2.8</v>
      </c>
      <c r="E9" s="3">
        <v>2</v>
      </c>
      <c r="F9" s="7">
        <f t="shared" si="4"/>
        <v>0.69314718055994529</v>
      </c>
      <c r="G9" s="7">
        <f t="shared" si="0"/>
        <v>8.3775804095727811</v>
      </c>
      <c r="H9" s="3">
        <f t="shared" si="1"/>
        <v>115.6</v>
      </c>
      <c r="I9" s="7">
        <f t="shared" si="2"/>
        <v>6.0393079087219954</v>
      </c>
      <c r="J9" s="19">
        <f t="shared" si="3"/>
        <v>5.8321787410315062</v>
      </c>
      <c r="M9" s="14">
        <f t="shared" si="5"/>
        <v>0.29973029030127546</v>
      </c>
      <c r="T9">
        <v>20</v>
      </c>
      <c r="U9">
        <f t="shared" si="6"/>
        <v>0.4355</v>
      </c>
    </row>
    <row r="10" spans="1:21" ht="18" x14ac:dyDescent="0.3">
      <c r="A10" s="3">
        <v>70</v>
      </c>
      <c r="B10" s="3">
        <v>0.09</v>
      </c>
      <c r="C10" s="3">
        <v>11</v>
      </c>
      <c r="D10" s="3">
        <v>2.6</v>
      </c>
      <c r="E10" s="3">
        <v>2</v>
      </c>
      <c r="F10" s="7">
        <f t="shared" si="4"/>
        <v>0.72119191388546711</v>
      </c>
      <c r="G10" s="7">
        <f t="shared" si="0"/>
        <v>8.2279807594018379</v>
      </c>
      <c r="H10" s="3">
        <f t="shared" si="1"/>
        <v>125.6</v>
      </c>
      <c r="I10" s="7">
        <f t="shared" si="2"/>
        <v>6.5856706469484694</v>
      </c>
      <c r="J10" s="19">
        <f t="shared" si="3"/>
        <v>5.367833299866577</v>
      </c>
      <c r="M10" s="14">
        <f t="shared" si="5"/>
        <v>0.12183823558515967</v>
      </c>
      <c r="T10">
        <v>30</v>
      </c>
      <c r="U10">
        <f t="shared" si="6"/>
        <v>0.49150000000000005</v>
      </c>
    </row>
    <row r="11" spans="1:21" ht="18" x14ac:dyDescent="0.3">
      <c r="A11" s="3">
        <v>80</v>
      </c>
      <c r="B11" s="3">
        <v>0.09</v>
      </c>
      <c r="C11" s="3">
        <v>10.8</v>
      </c>
      <c r="D11" s="3">
        <v>2.4</v>
      </c>
      <c r="E11" s="3">
        <v>2</v>
      </c>
      <c r="F11" s="7">
        <f t="shared" si="4"/>
        <v>0.75203869838813708</v>
      </c>
      <c r="G11" s="7">
        <f t="shared" si="0"/>
        <v>8.0783811092308966</v>
      </c>
      <c r="H11" s="3">
        <f t="shared" si="1"/>
        <v>135.6</v>
      </c>
      <c r="I11" s="7">
        <f t="shared" si="2"/>
        <v>7.0592965630061153</v>
      </c>
      <c r="J11" s="19">
        <f t="shared" si="3"/>
        <v>4.9719753868970651</v>
      </c>
      <c r="M11" s="14">
        <f t="shared" si="5"/>
        <v>1.9437014163433984E-2</v>
      </c>
      <c r="T11">
        <v>40</v>
      </c>
      <c r="U11">
        <f t="shared" si="6"/>
        <v>0.54749999999999999</v>
      </c>
    </row>
    <row r="12" spans="1:21" ht="18" x14ac:dyDescent="0.3">
      <c r="A12" s="3">
        <v>90</v>
      </c>
      <c r="B12" s="3">
        <v>0.09</v>
      </c>
      <c r="C12" s="3">
        <v>10.4</v>
      </c>
      <c r="D12" s="3">
        <v>2</v>
      </c>
      <c r="E12" s="3">
        <v>2</v>
      </c>
      <c r="F12" s="7">
        <f t="shared" si="4"/>
        <v>0.82432931279369082</v>
      </c>
      <c r="G12" s="7">
        <f t="shared" si="0"/>
        <v>7.7791818088890112</v>
      </c>
      <c r="H12" s="3">
        <f t="shared" si="1"/>
        <v>145.6</v>
      </c>
      <c r="I12" s="7">
        <f t="shared" si="2"/>
        <v>6.7739765562372076</v>
      </c>
      <c r="J12" s="19">
        <f t="shared" si="3"/>
        <v>4.6304935608739157</v>
      </c>
      <c r="M12" s="14">
        <f t="shared" si="5"/>
        <v>6.1135202801804525E-2</v>
      </c>
      <c r="T12">
        <v>50</v>
      </c>
      <c r="U12">
        <f t="shared" si="6"/>
        <v>0.60349999999999993</v>
      </c>
    </row>
    <row r="13" spans="1:21" ht="18" x14ac:dyDescent="0.3">
      <c r="A13" s="3">
        <v>100</v>
      </c>
      <c r="B13" s="3">
        <v>0.09</v>
      </c>
      <c r="C13" s="3">
        <v>10.199999999999999</v>
      </c>
      <c r="D13" s="3">
        <v>4.2</v>
      </c>
      <c r="E13" s="3">
        <v>1</v>
      </c>
      <c r="F13" s="7">
        <f t="shared" si="4"/>
        <v>0.88730319500090271</v>
      </c>
      <c r="G13" s="7">
        <f t="shared" si="0"/>
        <v>7.5660023073954186</v>
      </c>
      <c r="H13" s="3">
        <f t="shared" si="1"/>
        <v>155.6</v>
      </c>
      <c r="I13" s="7">
        <f t="shared" si="2"/>
        <v>6.6772482179182751</v>
      </c>
      <c r="J13" s="19">
        <f t="shared" si="3"/>
        <v>4.3329040004064403</v>
      </c>
      <c r="M13" s="14">
        <f t="shared" si="5"/>
        <v>0.45809606560716953</v>
      </c>
      <c r="T13">
        <v>60</v>
      </c>
      <c r="U13">
        <f t="shared" si="6"/>
        <v>0.65949999999999998</v>
      </c>
    </row>
    <row r="14" spans="1:21" ht="18" x14ac:dyDescent="0.3">
      <c r="A14" s="3">
        <v>200</v>
      </c>
      <c r="B14" s="3">
        <v>0.09</v>
      </c>
      <c r="C14" s="3">
        <v>8.4</v>
      </c>
      <c r="D14" s="3">
        <v>2</v>
      </c>
      <c r="E14" s="3">
        <v>1</v>
      </c>
      <c r="F14" s="7">
        <f t="shared" si="4"/>
        <v>1.4350845252893227</v>
      </c>
      <c r="G14" s="7">
        <f t="shared" si="0"/>
        <v>6.6607805780437443</v>
      </c>
      <c r="H14" s="3">
        <f t="shared" si="1"/>
        <v>255.6</v>
      </c>
      <c r="I14" s="7">
        <f t="shared" si="2"/>
        <v>6.8879369388516052</v>
      </c>
      <c r="J14" s="19">
        <f t="shared" si="3"/>
        <v>2.6377146418749691</v>
      </c>
      <c r="M14" s="14">
        <f t="shared" si="5"/>
        <v>1.7021169884354998E-2</v>
      </c>
      <c r="T14">
        <v>70</v>
      </c>
      <c r="U14">
        <f t="shared" si="6"/>
        <v>0.71550000000000002</v>
      </c>
    </row>
    <row r="15" spans="1:21" ht="18" x14ac:dyDescent="0.3">
      <c r="A15" s="3">
        <v>300</v>
      </c>
      <c r="B15" s="3">
        <v>0.09</v>
      </c>
      <c r="C15" s="3">
        <v>7.2</v>
      </c>
      <c r="D15" s="3">
        <v>0.9</v>
      </c>
      <c r="E15" s="3">
        <v>1</v>
      </c>
      <c r="F15" s="7">
        <f>1/E15*LN(C15/D15)</f>
        <v>2.0794415416798357</v>
      </c>
      <c r="G15" s="7">
        <f t="shared" si="0"/>
        <v>6.3829184072935483</v>
      </c>
      <c r="H15" s="3">
        <f t="shared" si="1"/>
        <v>355.6</v>
      </c>
      <c r="I15" s="7">
        <f t="shared" si="2"/>
        <v>6.3496896532064158</v>
      </c>
      <c r="J15" s="19">
        <f t="shared" si="3"/>
        <v>1.8959501194129416</v>
      </c>
      <c r="M15" s="14">
        <f t="shared" si="5"/>
        <v>0.11775927316995741</v>
      </c>
      <c r="T15">
        <v>80</v>
      </c>
      <c r="U15">
        <f t="shared" si="6"/>
        <v>0.77150000000000007</v>
      </c>
    </row>
    <row r="16" spans="1:21" ht="18.600000000000001" thickBot="1" x14ac:dyDescent="0.35">
      <c r="A16" s="3">
        <v>400</v>
      </c>
      <c r="B16" s="3">
        <v>0.09</v>
      </c>
      <c r="C16" s="3">
        <v>4.9000000000000004</v>
      </c>
      <c r="D16" s="3">
        <v>0.4</v>
      </c>
      <c r="E16" s="3">
        <v>1</v>
      </c>
      <c r="F16" s="7">
        <f>1/E16*LN(C16/D16)</f>
        <v>2.5055259369907361</v>
      </c>
      <c r="G16" s="7">
        <f t="shared" si="0"/>
        <v>6.3253366551522792</v>
      </c>
      <c r="H16" s="3">
        <f t="shared" si="1"/>
        <v>455.6</v>
      </c>
      <c r="I16" s="12">
        <f>PI()*PI()*POWER(H16, 2) / POWER(F16,2) * 0.022*POWER(10,-3)</f>
        <v>7.1794644810536816</v>
      </c>
      <c r="J16" s="19">
        <f t="shared" si="3"/>
        <v>1.4798065462318746</v>
      </c>
      <c r="M16" s="14">
        <f t="shared" si="5"/>
        <v>3.3455469978418842E-3</v>
      </c>
      <c r="T16">
        <v>90</v>
      </c>
      <c r="U16">
        <f t="shared" si="6"/>
        <v>0.82750000000000001</v>
      </c>
    </row>
    <row r="17" spans="1:21" ht="24" customHeight="1" thickBot="1" x14ac:dyDescent="0.35">
      <c r="I17" s="13" t="s">
        <v>22</v>
      </c>
      <c r="J17" s="20"/>
      <c r="M17" s="14">
        <f t="shared" si="5"/>
        <v>1.512248130739533E-3</v>
      </c>
      <c r="T17">
        <v>100</v>
      </c>
      <c r="U17">
        <f t="shared" si="6"/>
        <v>0.88349999999999995</v>
      </c>
    </row>
    <row r="18" spans="1:21" ht="18.600000000000001" thickBot="1" x14ac:dyDescent="0.35">
      <c r="I18" s="16">
        <f>2.26*SQRT(SUM(M7:M20)/13/12)</f>
        <v>0.33861905602511227</v>
      </c>
      <c r="J18" s="21"/>
      <c r="M18" s="14"/>
      <c r="T18">
        <v>110</v>
      </c>
      <c r="U18">
        <f t="shared" si="6"/>
        <v>0.9395</v>
      </c>
    </row>
    <row r="19" spans="1:21" ht="18" x14ac:dyDescent="0.3">
      <c r="M19" s="14"/>
      <c r="T19">
        <v>120</v>
      </c>
      <c r="U19">
        <f t="shared" si="6"/>
        <v>0.99550000000000005</v>
      </c>
    </row>
    <row r="20" spans="1:21" ht="18" x14ac:dyDescent="0.3">
      <c r="M20" s="14"/>
      <c r="T20">
        <v>130</v>
      </c>
      <c r="U20">
        <f t="shared" si="6"/>
        <v>1.0514999999999999</v>
      </c>
    </row>
    <row r="21" spans="1:21" x14ac:dyDescent="0.3">
      <c r="T21">
        <v>140</v>
      </c>
      <c r="U21">
        <f t="shared" si="6"/>
        <v>1.1074999999999999</v>
      </c>
    </row>
    <row r="22" spans="1:21" ht="18" x14ac:dyDescent="0.3">
      <c r="A22" s="23" t="s">
        <v>11</v>
      </c>
      <c r="B22" s="24"/>
      <c r="C22" s="24"/>
      <c r="D22" s="25"/>
      <c r="T22">
        <v>150</v>
      </c>
      <c r="U22">
        <f t="shared" si="6"/>
        <v>1.1635</v>
      </c>
    </row>
    <row r="23" spans="1:21" ht="18" x14ac:dyDescent="0.3">
      <c r="A23" s="2" t="s">
        <v>12</v>
      </c>
      <c r="B23" s="2" t="s">
        <v>13</v>
      </c>
      <c r="C23" s="2" t="s">
        <v>14</v>
      </c>
      <c r="D23" s="2" t="s">
        <v>15</v>
      </c>
      <c r="T23">
        <v>200</v>
      </c>
      <c r="U23">
        <f t="shared" si="6"/>
        <v>1.4434999999999998</v>
      </c>
    </row>
    <row r="24" spans="1:21" ht="18" x14ac:dyDescent="0.3">
      <c r="A24" s="2">
        <v>2.1999999999999999E-2</v>
      </c>
      <c r="B24" s="2">
        <v>0.09</v>
      </c>
      <c r="C24" s="8">
        <f>2*PI() / SQRT(POWER(10,9)/A24/$N$3 - POWER(10,6)*$M$3*$M$3/4/$N$3/$N$3)*1000</f>
        <v>7.6471809906890467E-2</v>
      </c>
      <c r="D24" s="9">
        <f>(B24-C24)/C24*100</f>
        <v>17.690427504698793</v>
      </c>
      <c r="T24">
        <v>250</v>
      </c>
      <c r="U24">
        <f t="shared" si="6"/>
        <v>1.7235</v>
      </c>
    </row>
    <row r="25" spans="1:21" ht="18" x14ac:dyDescent="0.3">
      <c r="A25" s="2">
        <v>3.3000000000000002E-2</v>
      </c>
      <c r="B25" s="2">
        <v>0.11</v>
      </c>
      <c r="C25" s="8">
        <f t="shared" ref="C25:C27" si="7">2*PI() / SQRT(POWER(10,9)/A25/$N$3 - POWER(10,6)*$M$3*$M$3/4/$N$3/$N$3)*1000</f>
        <v>9.3717940177703518E-2</v>
      </c>
      <c r="D25" s="9">
        <f>(B25-C25)/C25*100</f>
        <v>17.373471708216389</v>
      </c>
      <c r="T25">
        <v>300</v>
      </c>
      <c r="U25">
        <f t="shared" si="6"/>
        <v>2.0034999999999998</v>
      </c>
    </row>
    <row r="26" spans="1:21" ht="18" x14ac:dyDescent="0.3">
      <c r="A26" s="2">
        <v>4.7E-2</v>
      </c>
      <c r="B26" s="2">
        <v>0.13</v>
      </c>
      <c r="C26" s="8">
        <f t="shared" si="7"/>
        <v>0.11193506035382268</v>
      </c>
      <c r="D26" s="9">
        <f t="shared" ref="D26:D27" si="8">(B26-C26)/C26*100</f>
        <v>16.138767950876787</v>
      </c>
      <c r="T26">
        <v>350</v>
      </c>
      <c r="U26">
        <f t="shared" si="6"/>
        <v>2.2835000000000001</v>
      </c>
    </row>
    <row r="27" spans="1:21" ht="18" x14ac:dyDescent="0.3">
      <c r="A27" s="2">
        <v>0.47</v>
      </c>
      <c r="B27" s="2">
        <v>0.43</v>
      </c>
      <c r="C27" s="8">
        <f t="shared" si="7"/>
        <v>0.36296288989559045</v>
      </c>
      <c r="D27" s="9">
        <f t="shared" si="8"/>
        <v>18.469411603950302</v>
      </c>
      <c r="T27">
        <v>400</v>
      </c>
      <c r="U27">
        <f t="shared" si="6"/>
        <v>2.5634999999999999</v>
      </c>
    </row>
  </sheetData>
  <mergeCells count="2">
    <mergeCell ref="A1:I1"/>
    <mergeCell ref="A22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</dc:creator>
  <cp:lastModifiedBy>Lord Kelvin</cp:lastModifiedBy>
  <dcterms:created xsi:type="dcterms:W3CDTF">2021-05-07T13:12:52Z</dcterms:created>
  <dcterms:modified xsi:type="dcterms:W3CDTF">2021-05-13T07:32:54Z</dcterms:modified>
</cp:coreProperties>
</file>