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gre\Desktop\"/>
    </mc:Choice>
  </mc:AlternateContent>
  <xr:revisionPtr revIDLastSave="0" documentId="13_ncr:1_{ACA38933-DE19-40BC-AF85-28B148339B7D}" xr6:coauthVersionLast="45" xr6:coauthVersionMax="45" xr10:uidLastSave="{00000000-0000-0000-0000-000000000000}"/>
  <bookViews>
    <workbookView xWindow="-108" yWindow="-108" windowWidth="23256" windowHeight="12576" xr2:uid="{26B7AA96-4580-4D5A-B1D6-C1CCF4DCBA8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3" i="1" l="1"/>
  <c r="N33" i="1" l="1"/>
  <c r="N32" i="1"/>
  <c r="N31" i="1"/>
  <c r="R34" i="1"/>
  <c r="R33" i="1"/>
  <c r="R32" i="1"/>
  <c r="R31" i="1"/>
  <c r="R30" i="1"/>
  <c r="I3" i="1"/>
  <c r="Q34" i="1"/>
  <c r="Q30" i="1"/>
  <c r="M42" i="1"/>
  <c r="V42" i="1" l="1"/>
  <c r="G52" i="1"/>
  <c r="I53" i="1"/>
  <c r="R42" i="1" l="1"/>
  <c r="D53" i="1"/>
  <c r="B56" i="1"/>
  <c r="B55" i="1"/>
  <c r="B54" i="1"/>
  <c r="L42" i="1" l="1"/>
  <c r="G18" i="1" l="1"/>
  <c r="G17" i="1"/>
  <c r="G16" i="1"/>
  <c r="G15" i="1"/>
  <c r="G14" i="1"/>
  <c r="R52" i="1" l="1"/>
  <c r="S52" i="1" s="1"/>
  <c r="P49" i="1" l="1"/>
  <c r="I42" i="1"/>
  <c r="T42" i="1" s="1"/>
  <c r="I43" i="1"/>
  <c r="T43" i="1" s="1"/>
  <c r="N34" i="1"/>
  <c r="K45" i="1"/>
  <c r="K44" i="1"/>
  <c r="K43" i="1"/>
  <c r="N30" i="1"/>
  <c r="K42" i="1" s="1"/>
  <c r="M34" i="1"/>
  <c r="J46" i="1" s="1"/>
  <c r="M33" i="1"/>
  <c r="M32" i="1"/>
  <c r="J44" i="1" s="1"/>
  <c r="M31" i="1"/>
  <c r="M30" i="1"/>
  <c r="J42" i="1" s="1"/>
  <c r="I46" i="1"/>
  <c r="T46" i="1" s="1"/>
  <c r="I45" i="1"/>
  <c r="T45" i="1" s="1"/>
  <c r="I44" i="1"/>
  <c r="T44" i="1" s="1"/>
  <c r="I4" i="1"/>
  <c r="I5" i="1"/>
  <c r="I6" i="1"/>
  <c r="I7" i="1"/>
  <c r="H4" i="1"/>
  <c r="H5" i="1"/>
  <c r="H6" i="1"/>
  <c r="H7" i="1"/>
  <c r="H3" i="1"/>
  <c r="I23" i="1"/>
  <c r="I24" i="1"/>
  <c r="I25" i="1"/>
  <c r="I26" i="1"/>
  <c r="I22" i="1"/>
  <c r="F15" i="1"/>
  <c r="H23" i="1" s="1"/>
  <c r="F16" i="1"/>
  <c r="H24" i="1" s="1"/>
  <c r="F17" i="1"/>
  <c r="H25" i="1" s="1"/>
  <c r="F18" i="1"/>
  <c r="H26" i="1" s="1"/>
  <c r="F14" i="1"/>
  <c r="H22" i="1" s="1"/>
  <c r="L46" i="1" l="1"/>
  <c r="K46" i="1"/>
  <c r="L45" i="1"/>
  <c r="J45" i="1"/>
  <c r="L44" i="1"/>
  <c r="M44" i="1" s="1"/>
  <c r="L43" i="1"/>
  <c r="J43" i="1"/>
  <c r="J26" i="1"/>
  <c r="L26" i="1" s="1"/>
  <c r="J24" i="1"/>
  <c r="L24" i="1" s="1"/>
  <c r="J22" i="1"/>
  <c r="J25" i="1"/>
  <c r="L25" i="1" s="1"/>
  <c r="J23" i="1"/>
  <c r="L23" i="1" s="1"/>
  <c r="R44" i="1"/>
  <c r="S44" i="1" s="1"/>
  <c r="M46" i="1"/>
  <c r="R46" i="1"/>
  <c r="S46" i="1" s="1"/>
  <c r="O46" i="1"/>
  <c r="N46" i="1"/>
  <c r="R45" i="1" l="1"/>
  <c r="S45" i="1" s="1"/>
  <c r="Q33" i="1"/>
  <c r="O44" i="1"/>
  <c r="Q32" i="1"/>
  <c r="M43" i="1"/>
  <c r="Q31" i="1"/>
  <c r="B53" i="1"/>
  <c r="B58" i="1"/>
  <c r="M45" i="1"/>
  <c r="N45" i="1"/>
  <c r="N43" i="1"/>
  <c r="R43" i="1"/>
  <c r="S43" i="1" s="1"/>
  <c r="O43" i="1"/>
  <c r="N42" i="1"/>
  <c r="O45" i="1"/>
  <c r="N44" i="1"/>
  <c r="O42" i="1"/>
  <c r="S42" i="1"/>
  <c r="L22" i="1"/>
  <c r="K22" i="1"/>
  <c r="B52" i="1" l="1"/>
  <c r="D52" i="1" s="1"/>
  <c r="D54" i="1" s="1"/>
  <c r="Q56" i="1" s="1"/>
  <c r="M22" i="1"/>
  <c r="B59" i="1" l="1"/>
  <c r="D58" i="1" s="1"/>
  <c r="G57" i="1"/>
  <c r="G62" i="1" s="1"/>
  <c r="G53" i="1"/>
  <c r="G58" i="1" s="1"/>
  <c r="G56" i="1"/>
  <c r="G61" i="1" s="1"/>
  <c r="G55" i="1"/>
  <c r="G60" i="1" s="1"/>
  <c r="G54" i="1"/>
  <c r="G59" i="1" s="1"/>
  <c r="H34" i="1"/>
  <c r="H32" i="1"/>
  <c r="H30" i="1"/>
  <c r="H33" i="1"/>
  <c r="H31" i="1"/>
  <c r="V44" i="1" l="1"/>
  <c r="Q54" i="1"/>
  <c r="P48" i="1"/>
  <c r="I30" i="1"/>
  <c r="K30" i="1" s="1"/>
  <c r="H37" i="1" s="1"/>
  <c r="I37" i="1" s="1"/>
  <c r="P50" i="1" l="1"/>
  <c r="Q46" i="1"/>
</calcChain>
</file>

<file path=xl/sharedStrings.xml><?xml version="1.0" encoding="utf-8"?>
<sst xmlns="http://schemas.openxmlformats.org/spreadsheetml/2006/main" count="123" uniqueCount="109">
  <si>
    <t>Наименование</t>
  </si>
  <si>
    <t xml:space="preserve">предел измерений </t>
  </si>
  <si>
    <t>цена деления</t>
  </si>
  <si>
    <t>класс точности</t>
  </si>
  <si>
    <t>дельта и</t>
  </si>
  <si>
    <t>Линейка на рельсе</t>
  </si>
  <si>
    <t>1,3 м</t>
  </si>
  <si>
    <t>-</t>
  </si>
  <si>
    <t>Линейка на угольнике</t>
  </si>
  <si>
    <t>ПКЦ-3 в режиме секундомера</t>
  </si>
  <si>
    <t>250 мм</t>
  </si>
  <si>
    <t>100 с</t>
  </si>
  <si>
    <t>1 см/дел</t>
  </si>
  <si>
    <t>1 мм/дел</t>
  </si>
  <si>
    <t>0,1 с</t>
  </si>
  <si>
    <t>Таблица 1</t>
  </si>
  <si>
    <t>Таблица 2</t>
  </si>
  <si>
    <t>h0', мм</t>
  </si>
  <si>
    <t>Таблица 3</t>
  </si>
  <si>
    <t>Таблица 4</t>
  </si>
  <si>
    <t>№</t>
  </si>
  <si>
    <t>Измеренные величины</t>
  </si>
  <si>
    <t>Рассчитанные величины</t>
  </si>
  <si>
    <t>x1, м</t>
  </si>
  <si>
    <t>x2, м</t>
  </si>
  <si>
    <t>t1, c</t>
  </si>
  <si>
    <t>t2, c</t>
  </si>
  <si>
    <t>N пластин</t>
  </si>
  <si>
    <t>h, мм</t>
  </si>
  <si>
    <t>h', мм</t>
  </si>
  <si>
    <t>t1, с</t>
  </si>
  <si>
    <t>Y = x2-x1, м</t>
  </si>
  <si>
    <t>dY, м</t>
  </si>
  <si>
    <t>dZ, с^2</t>
  </si>
  <si>
    <t>мм</t>
  </si>
  <si>
    <t>с</t>
  </si>
  <si>
    <t>Погрешности Y и Z</t>
  </si>
  <si>
    <t>Yi, м</t>
  </si>
  <si>
    <t>Zi, c^2</t>
  </si>
  <si>
    <t>Yi*Zi, м*c^2</t>
  </si>
  <si>
    <t>СУММ(Yi*Zi), м*c^2</t>
  </si>
  <si>
    <t>Zi^2, c^4</t>
  </si>
  <si>
    <t xml:space="preserve">применяемый для решения различных задач, </t>
  </si>
  <si>
    <t>основанный на минимизации суммы квадратов</t>
  </si>
  <si>
    <t xml:space="preserve"> отклонений некоторых функций от искомых переменных</t>
  </si>
  <si>
    <t>(Yi - a*Zi)^2, m^2</t>
  </si>
  <si>
    <t>СУММ((Yi - a*Zi)^2), m^2</t>
  </si>
  <si>
    <t>N</t>
  </si>
  <si>
    <t>СКО</t>
  </si>
  <si>
    <t xml:space="preserve">Абсолютная погрешность </t>
  </si>
  <si>
    <t>Относительная погрешность ускорения</t>
  </si>
  <si>
    <t>Линейная зависимость Y и Z</t>
  </si>
  <si>
    <r>
      <t xml:space="preserve">Y = </t>
    </r>
    <r>
      <rPr>
        <i/>
        <sz val="11"/>
        <color theme="1"/>
        <rFont val="Calibri"/>
        <family val="2"/>
        <charset val="204"/>
        <scheme val="minor"/>
      </rPr>
      <t>a*</t>
    </r>
    <r>
      <rPr>
        <sz val="11"/>
        <color theme="1"/>
        <rFont val="Calibri"/>
        <family val="2"/>
        <charset val="204"/>
        <scheme val="minor"/>
      </rPr>
      <t>Z</t>
    </r>
  </si>
  <si>
    <t>a, м/с^2</t>
  </si>
  <si>
    <t xml:space="preserve">Метод наименьших квадратов (МНК) - мат. метод,  </t>
  </si>
  <si>
    <t>среднее t1</t>
  </si>
  <si>
    <t>среднее t2</t>
  </si>
  <si>
    <t>dt1</t>
  </si>
  <si>
    <t>dt2</t>
  </si>
  <si>
    <t>B =</t>
  </si>
  <si>
    <t>A =</t>
  </si>
  <si>
    <t xml:space="preserve">D = </t>
  </si>
  <si>
    <t>сигма g</t>
  </si>
  <si>
    <t>g =</t>
  </si>
  <si>
    <t xml:space="preserve">дельта g = </t>
  </si>
  <si>
    <t>А=</t>
  </si>
  <si>
    <t>Таблица 6</t>
  </si>
  <si>
    <t>Таблица 7</t>
  </si>
  <si>
    <t>0,13 +- 0,05</t>
  </si>
  <si>
    <t>Относительная прогрешность G</t>
  </si>
  <si>
    <t>разностть между табличной величиной и найденной</t>
  </si>
  <si>
    <t>Относитеьная разность между полученным ускорением свободного падения, и табличным</t>
  </si>
  <si>
    <t>Таблица 7. Расчёт погрешности ускорения (для формулы)</t>
  </si>
  <si>
    <t>h0, мм</t>
  </si>
  <si>
    <t>Z = (t2^2 - t1^2)/2, c^2</t>
  </si>
  <si>
    <t>x, мм</t>
  </si>
  <si>
    <t>x', мм</t>
  </si>
  <si>
    <t>Sx2</t>
  </si>
  <si>
    <t>СКО2</t>
  </si>
  <si>
    <t>&lt;a&gt;, м/c^2</t>
  </si>
  <si>
    <t>&lt;t2&gt;+- dt2, c</t>
  </si>
  <si>
    <t>&lt;t1&gt; +- dt1, c</t>
  </si>
  <si>
    <t>sin a</t>
  </si>
  <si>
    <t>№ пластины</t>
  </si>
  <si>
    <t>da</t>
  </si>
  <si>
    <t>a * sin(а)</t>
  </si>
  <si>
    <t>ai^2</t>
  </si>
  <si>
    <t>sin^2(a)</t>
  </si>
  <si>
    <t>1)</t>
  </si>
  <si>
    <t>2)</t>
  </si>
  <si>
    <t>3)</t>
  </si>
  <si>
    <t>4)</t>
  </si>
  <si>
    <t>5)</t>
  </si>
  <si>
    <t>числитель</t>
  </si>
  <si>
    <t>знаменатель</t>
  </si>
  <si>
    <t>B</t>
  </si>
  <si>
    <t>A</t>
  </si>
  <si>
    <t>di</t>
  </si>
  <si>
    <t>di^2</t>
  </si>
  <si>
    <t>d(1)</t>
  </si>
  <si>
    <t>d(4)</t>
  </si>
  <si>
    <t>d(5)</t>
  </si>
  <si>
    <t>d(2)</t>
  </si>
  <si>
    <t>d(3)</t>
  </si>
  <si>
    <t>D</t>
  </si>
  <si>
    <t>АБСОЛЮТНАЯ ПОГРЕШНОСТЬ КОЭФФичиента</t>
  </si>
  <si>
    <t>ОТНОСИТЕЛЬНАЯ ПОГРЕШНОСТЬ</t>
  </si>
  <si>
    <t>значение g в СПБ</t>
  </si>
  <si>
    <t>|g(эксп)-g(табл)|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</si>
</sst>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51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Alignment="1">
      <alignment horizontal="right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16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2" xfId="1" applyBorder="1"/>
    <xf numFmtId="0" fontId="0" fillId="0" borderId="2" xfId="0" applyBorder="1" applyAlignment="1">
      <alignment horizontal="center" vertical="center"/>
    </xf>
    <xf numFmtId="0" fontId="0" fillId="2" borderId="2" xfId="1" applyFont="1" applyBorder="1" applyAlignment="1">
      <alignment horizontal="center"/>
    </xf>
    <xf numFmtId="0" fontId="1" fillId="3" borderId="2" xfId="2" applyBorder="1"/>
    <xf numFmtId="0" fontId="5" fillId="0" borderId="2" xfId="0" applyFont="1" applyBorder="1"/>
    <xf numFmtId="0" fontId="0" fillId="2" borderId="4" xfId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2" borderId="21" xfId="1" applyBorder="1"/>
    <xf numFmtId="0" fontId="1" fillId="2" borderId="27" xfId="1" applyBorder="1"/>
    <xf numFmtId="0" fontId="3" fillId="0" borderId="28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4" borderId="13" xfId="3" applyBorder="1" applyAlignment="1">
      <alignment horizontal="left"/>
    </xf>
    <xf numFmtId="0" fontId="2" fillId="4" borderId="1" xfId="3" applyBorder="1" applyAlignment="1">
      <alignment horizontal="left"/>
    </xf>
    <xf numFmtId="0" fontId="2" fillId="4" borderId="14" xfId="3" applyBorder="1" applyAlignment="1">
      <alignment horizontal="left"/>
    </xf>
    <xf numFmtId="49" fontId="2" fillId="4" borderId="15" xfId="3" applyNumberFormat="1" applyBorder="1" applyAlignment="1">
      <alignment horizontal="left" vertical="top"/>
    </xf>
    <xf numFmtId="49" fontId="2" fillId="4" borderId="0" xfId="3" applyNumberFormat="1" applyBorder="1" applyAlignment="1">
      <alignment horizontal="left" vertical="top"/>
    </xf>
    <xf numFmtId="49" fontId="2" fillId="4" borderId="27" xfId="3" applyNumberFormat="1" applyBorder="1" applyAlignment="1">
      <alignment horizontal="left" vertical="top"/>
    </xf>
    <xf numFmtId="49" fontId="2" fillId="4" borderId="25" xfId="3" applyNumberFormat="1" applyBorder="1" applyAlignment="1">
      <alignment horizontal="left" vertical="top"/>
    </xf>
    <xf numFmtId="49" fontId="2" fillId="4" borderId="24" xfId="3" applyNumberFormat="1" applyBorder="1" applyAlignment="1">
      <alignment horizontal="left" vertical="top"/>
    </xf>
    <xf numFmtId="49" fontId="2" fillId="4" borderId="26" xfId="3" applyNumberFormat="1" applyBorder="1" applyAlignment="1">
      <alignment horizontal="left" vertical="top"/>
    </xf>
    <xf numFmtId="0" fontId="1" fillId="2" borderId="16" xfId="1" applyBorder="1" applyAlignment="1">
      <alignment horizontal="center"/>
    </xf>
    <xf numFmtId="0" fontId="1" fillId="2" borderId="19" xfId="1" applyBorder="1" applyAlignment="1">
      <alignment horizontal="center"/>
    </xf>
    <xf numFmtId="0" fontId="1" fillId="2" borderId="11" xfId="1" applyBorder="1" applyAlignment="1">
      <alignment horizontal="center" vertical="center"/>
    </xf>
    <xf numFmtId="0" fontId="1" fillId="2" borderId="12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7" xfId="1" applyBorder="1" applyAlignment="1">
      <alignment horizontal="center"/>
    </xf>
    <xf numFmtId="0" fontId="1" fillId="2" borderId="18" xfId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20% — акцент1" xfId="1" builtinId="30"/>
    <cellStyle name="40% — акцент1" xfId="2" builtinId="31"/>
    <cellStyle name="Акцент5" xfId="3" builtinId="45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𝑌 = 𝑌 (𝑍)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47997113935362185"/>
          <c:y val="6.160295558844285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errBars>
            <c:errDir val="x"/>
            <c:errBarType val="both"/>
            <c:errValType val="cust"/>
            <c:noEndCap val="0"/>
            <c:plus>
              <c:numRef>
                <c:f>Лист1!$I$3:$I$7</c:f>
                <c:numCache>
                  <c:formatCode>General</c:formatCode>
                  <c:ptCount val="5"/>
                  <c:pt idx="0">
                    <c:v>0.26832815729997478</c:v>
                  </c:pt>
                  <c:pt idx="1">
                    <c:v>0.29546573405388316</c:v>
                  </c:pt>
                  <c:pt idx="2">
                    <c:v>0.34176014981270131</c:v>
                  </c:pt>
                  <c:pt idx="3">
                    <c:v>0.39849717690342551</c:v>
                  </c:pt>
                  <c:pt idx="4">
                    <c:v>0.42449970553582245</c:v>
                  </c:pt>
                </c:numCache>
              </c:numRef>
            </c:plus>
            <c:minus>
              <c:numRef>
                <c:f>Лист1!$I$3:$I$7</c:f>
                <c:numCache>
                  <c:formatCode>General</c:formatCode>
                  <c:ptCount val="5"/>
                  <c:pt idx="0">
                    <c:v>0.26832815729997478</c:v>
                  </c:pt>
                  <c:pt idx="1">
                    <c:v>0.29546573405388316</c:v>
                  </c:pt>
                  <c:pt idx="2">
                    <c:v>0.34176014981270131</c:v>
                  </c:pt>
                  <c:pt idx="3">
                    <c:v>0.39849717690342551</c:v>
                  </c:pt>
                  <c:pt idx="4">
                    <c:v>0.42449970553582245</c:v>
                  </c:pt>
                </c:numCache>
              </c:numRef>
            </c:minus>
          </c:errBars>
          <c:errBars>
            <c:errDir val="y"/>
            <c:errBarType val="both"/>
            <c:errValType val="cust"/>
            <c:noEndCap val="0"/>
            <c:plus>
              <c:numRef>
                <c:f>Лист1!$H$3:$H$7</c:f>
                <c:numCache>
                  <c:formatCode>General</c:formatCode>
                  <c:ptCount val="5"/>
                  <c:pt idx="0">
                    <c:v>7.0710678118654755</c:v>
                  </c:pt>
                  <c:pt idx="1">
                    <c:v>7.0710678118654755</c:v>
                  </c:pt>
                  <c:pt idx="2">
                    <c:v>7.0710678118654755</c:v>
                  </c:pt>
                  <c:pt idx="3">
                    <c:v>7.0710678118654755</c:v>
                  </c:pt>
                  <c:pt idx="4">
                    <c:v>7.0710678118654755</c:v>
                  </c:pt>
                </c:numCache>
              </c:numRef>
            </c:plus>
            <c:minus>
              <c:numRef>
                <c:f>Лист1!$H$3:$H$7</c:f>
                <c:numCache>
                  <c:formatCode>General</c:formatCode>
                  <c:ptCount val="5"/>
                  <c:pt idx="0">
                    <c:v>7.0710678118654755</c:v>
                  </c:pt>
                  <c:pt idx="1">
                    <c:v>7.0710678118654755</c:v>
                  </c:pt>
                  <c:pt idx="2">
                    <c:v>7.0710678118654755</c:v>
                  </c:pt>
                  <c:pt idx="3">
                    <c:v>7.0710678118654755</c:v>
                  </c:pt>
                  <c:pt idx="4">
                    <c:v>7.0710678118654755</c:v>
                  </c:pt>
                </c:numCache>
              </c:numRef>
            </c:minus>
          </c:errBars>
          <c:xVal>
            <c:numRef>
              <c:f>Лист1!$F$14:$F$18</c:f>
              <c:numCache>
                <c:formatCode>General</c:formatCode>
                <c:ptCount val="5"/>
                <c:pt idx="0">
                  <c:v>0.25</c:v>
                </c:pt>
                <c:pt idx="1">
                  <c:v>0.35</c:v>
                </c:pt>
                <c:pt idx="2">
                  <c:v>0.54999999999999993</c:v>
                </c:pt>
                <c:pt idx="3">
                  <c:v>0.75</c:v>
                </c:pt>
                <c:pt idx="4">
                  <c:v>0.95000000000000007</c:v>
                </c:pt>
              </c:numCache>
            </c:numRef>
          </c:xVal>
          <c:yVal>
            <c:numRef>
              <c:f>Лист1!$G$14:$G$18</c:f>
              <c:numCache>
                <c:formatCode>General</c:formatCode>
                <c:ptCount val="5"/>
                <c:pt idx="0">
                  <c:v>2.16</c:v>
                </c:pt>
                <c:pt idx="1">
                  <c:v>2.9250000000000007</c:v>
                </c:pt>
                <c:pt idx="2">
                  <c:v>4.4000000000000012</c:v>
                </c:pt>
                <c:pt idx="3">
                  <c:v>6.5</c:v>
                </c:pt>
                <c:pt idx="4">
                  <c:v>7.7999999999999989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DDE-4FB2-9C70-291474C9E9B6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errBars>
            <c:errDir val="x"/>
            <c:errBarType val="both"/>
            <c:errValType val="cust"/>
            <c:noEndCap val="0"/>
            <c:plus>
              <c:numRef>
                <c:f>Лист1!$I$3:$I$7</c:f>
                <c:numCache>
                  <c:formatCode>General</c:formatCode>
                  <c:ptCount val="5"/>
                  <c:pt idx="0">
                    <c:v>0.26832815729997478</c:v>
                  </c:pt>
                  <c:pt idx="1">
                    <c:v>0.29546573405388316</c:v>
                  </c:pt>
                  <c:pt idx="2">
                    <c:v>0.34176014981270131</c:v>
                  </c:pt>
                  <c:pt idx="3">
                    <c:v>0.39849717690342551</c:v>
                  </c:pt>
                  <c:pt idx="4">
                    <c:v>0.42449970553582245</c:v>
                  </c:pt>
                </c:numCache>
              </c:numRef>
            </c:plus>
            <c:minus>
              <c:numRef>
                <c:f>Лист1!$I$3:$I$7</c:f>
                <c:numCache>
                  <c:formatCode>General</c:formatCode>
                  <c:ptCount val="5"/>
                  <c:pt idx="0">
                    <c:v>0.26832815729997478</c:v>
                  </c:pt>
                  <c:pt idx="1">
                    <c:v>0.29546573405388316</c:v>
                  </c:pt>
                  <c:pt idx="2">
                    <c:v>0.34176014981270131</c:v>
                  </c:pt>
                  <c:pt idx="3">
                    <c:v>0.39849717690342551</c:v>
                  </c:pt>
                  <c:pt idx="4">
                    <c:v>0.42449970553582245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Лист1!$H$3:$H$7</c:f>
                <c:numCache>
                  <c:formatCode>General</c:formatCode>
                  <c:ptCount val="5"/>
                  <c:pt idx="0">
                    <c:v>7.0710678118654755</c:v>
                  </c:pt>
                  <c:pt idx="1">
                    <c:v>7.0710678118654755</c:v>
                  </c:pt>
                  <c:pt idx="2">
                    <c:v>7.0710678118654755</c:v>
                  </c:pt>
                  <c:pt idx="3">
                    <c:v>7.0710678118654755</c:v>
                  </c:pt>
                  <c:pt idx="4">
                    <c:v>7.0710678118654755</c:v>
                  </c:pt>
                </c:numCache>
              </c:numRef>
            </c:plus>
            <c:minus>
              <c:numRef>
                <c:f>Лист1!$H$3:$H$7</c:f>
                <c:numCache>
                  <c:formatCode>General</c:formatCode>
                  <c:ptCount val="5"/>
                  <c:pt idx="0">
                    <c:v>7.0710678118654755</c:v>
                  </c:pt>
                  <c:pt idx="1">
                    <c:v>7.0710678118654755</c:v>
                  </c:pt>
                  <c:pt idx="2">
                    <c:v>7.0710678118654755</c:v>
                  </c:pt>
                  <c:pt idx="3">
                    <c:v>7.0710678118654755</c:v>
                  </c:pt>
                  <c:pt idx="4">
                    <c:v>7.0710678118654755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Лист1!$F$14:$F$18</c:f>
              <c:numCache>
                <c:formatCode>General</c:formatCode>
                <c:ptCount val="5"/>
                <c:pt idx="0">
                  <c:v>0.25</c:v>
                </c:pt>
                <c:pt idx="1">
                  <c:v>0.35</c:v>
                </c:pt>
                <c:pt idx="2">
                  <c:v>0.54999999999999993</c:v>
                </c:pt>
                <c:pt idx="3">
                  <c:v>0.75</c:v>
                </c:pt>
                <c:pt idx="4">
                  <c:v>0.95000000000000007</c:v>
                </c:pt>
              </c:numCache>
            </c:numRef>
          </c:xVal>
          <c:yVal>
            <c:numRef>
              <c:f>Лист1!$G$14:$G$18</c:f>
              <c:numCache>
                <c:formatCode>General</c:formatCode>
                <c:ptCount val="5"/>
                <c:pt idx="0">
                  <c:v>2.16</c:v>
                </c:pt>
                <c:pt idx="1">
                  <c:v>2.9250000000000007</c:v>
                </c:pt>
                <c:pt idx="2">
                  <c:v>4.4000000000000012</c:v>
                </c:pt>
                <c:pt idx="3">
                  <c:v>6.5</c:v>
                </c:pt>
                <c:pt idx="4">
                  <c:v>7.7999999999999989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DDE-4FB2-9C70-291474C9E9B6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0.25"/>
            <c:intercept val="0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Лист1!$I$3:$I$7</c:f>
                <c:numCache>
                  <c:formatCode>General</c:formatCode>
                  <c:ptCount val="5"/>
                  <c:pt idx="0">
                    <c:v>0.26832815729997478</c:v>
                  </c:pt>
                  <c:pt idx="1">
                    <c:v>0.29546573405388316</c:v>
                  </c:pt>
                  <c:pt idx="2">
                    <c:v>0.34176014981270131</c:v>
                  </c:pt>
                  <c:pt idx="3">
                    <c:v>0.39849717690342551</c:v>
                  </c:pt>
                  <c:pt idx="4">
                    <c:v>0.42449970553582245</c:v>
                  </c:pt>
                </c:numCache>
              </c:numRef>
            </c:plus>
            <c:minus>
              <c:numRef>
                <c:f>Лист1!$I$3:$I$7</c:f>
                <c:numCache>
                  <c:formatCode>General</c:formatCode>
                  <c:ptCount val="5"/>
                  <c:pt idx="0">
                    <c:v>0.26832815729997478</c:v>
                  </c:pt>
                  <c:pt idx="1">
                    <c:v>0.29546573405388316</c:v>
                  </c:pt>
                  <c:pt idx="2">
                    <c:v>0.34176014981270131</c:v>
                  </c:pt>
                  <c:pt idx="3">
                    <c:v>0.39849717690342551</c:v>
                  </c:pt>
                  <c:pt idx="4">
                    <c:v>0.42449970553582245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Лист1!$H$3:$H$7</c:f>
                <c:numCache>
                  <c:formatCode>General</c:formatCode>
                  <c:ptCount val="5"/>
                  <c:pt idx="0">
                    <c:v>7.0710678118654755</c:v>
                  </c:pt>
                  <c:pt idx="1">
                    <c:v>7.0710678118654755</c:v>
                  </c:pt>
                  <c:pt idx="2">
                    <c:v>7.0710678118654755</c:v>
                  </c:pt>
                  <c:pt idx="3">
                    <c:v>7.0710678118654755</c:v>
                  </c:pt>
                  <c:pt idx="4">
                    <c:v>7.0710678118654755</c:v>
                  </c:pt>
                </c:numCache>
              </c:numRef>
            </c:plus>
            <c:minus>
              <c:numRef>
                <c:f>Лист1!$H$3:$H$7</c:f>
                <c:numCache>
                  <c:formatCode>General</c:formatCode>
                  <c:ptCount val="5"/>
                  <c:pt idx="0">
                    <c:v>7.0710678118654755</c:v>
                  </c:pt>
                  <c:pt idx="1">
                    <c:v>7.0710678118654755</c:v>
                  </c:pt>
                  <c:pt idx="2">
                    <c:v>7.0710678118654755</c:v>
                  </c:pt>
                  <c:pt idx="3">
                    <c:v>7.0710678118654755</c:v>
                  </c:pt>
                  <c:pt idx="4">
                    <c:v>7.0710678118654755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Лист1!$F$14:$F$18</c:f>
              <c:numCache>
                <c:formatCode>General</c:formatCode>
                <c:ptCount val="5"/>
                <c:pt idx="0">
                  <c:v>0.25</c:v>
                </c:pt>
                <c:pt idx="1">
                  <c:v>0.35</c:v>
                </c:pt>
                <c:pt idx="2">
                  <c:v>0.54999999999999993</c:v>
                </c:pt>
                <c:pt idx="3">
                  <c:v>0.75</c:v>
                </c:pt>
                <c:pt idx="4">
                  <c:v>0.95000000000000007</c:v>
                </c:pt>
              </c:numCache>
            </c:numRef>
          </c:xVal>
          <c:yVal>
            <c:numRef>
              <c:f>Лист1!$G$14:$G$18</c:f>
              <c:numCache>
                <c:formatCode>General</c:formatCode>
                <c:ptCount val="5"/>
                <c:pt idx="0">
                  <c:v>2.16</c:v>
                </c:pt>
                <c:pt idx="1">
                  <c:v>2.9250000000000007</c:v>
                </c:pt>
                <c:pt idx="2">
                  <c:v>4.4000000000000012</c:v>
                </c:pt>
                <c:pt idx="3">
                  <c:v>6.5</c:v>
                </c:pt>
                <c:pt idx="4">
                  <c:v>7.7999999999999989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DDE-4FB2-9C70-291474C9E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390832"/>
        <c:axId val="460391160"/>
      </c:scatterChart>
      <c:valAx>
        <c:axId val="460390832"/>
        <c:scaling>
          <c:orientation val="minMax"/>
          <c:max val="1.4"/>
          <c:min val="-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Z, </a:t>
                </a:r>
                <a:r>
                  <a:rPr lang="ru-RU"/>
                  <a:t>м</a:t>
                </a:r>
              </a:p>
            </c:rich>
          </c:tx>
          <c:layout>
            <c:manualLayout>
              <c:xMode val="edge"/>
              <c:yMode val="edge"/>
              <c:x val="0.44004309278238246"/>
              <c:y val="0.8915992618114274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391160"/>
        <c:crosses val="autoZero"/>
        <c:crossBetween val="midCat"/>
      </c:valAx>
      <c:valAx>
        <c:axId val="460391160"/>
        <c:scaling>
          <c:orientation val="minMax"/>
          <c:max val="1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Y, </a:t>
                </a:r>
                <a:r>
                  <a:rPr lang="ru-RU"/>
                  <a:t>м</a:t>
                </a:r>
              </a:p>
            </c:rich>
          </c:tx>
          <c:layout>
            <c:manualLayout>
              <c:xMode val="edge"/>
              <c:yMode val="edge"/>
              <c:x val="2.3050847184176673E-2"/>
              <c:y val="0.4606096697329999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3908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/>
              <a:t>𝑎 = 𝑎 (sin 𝛼)</a:t>
            </a:r>
            <a:endParaRPr lang="ru-RU"/>
          </a:p>
        </c:rich>
      </c:tx>
      <c:layout>
        <c:manualLayout>
          <c:xMode val="edge"/>
          <c:yMode val="edge"/>
          <c:x val="0.44780589161886208"/>
          <c:y val="4.98160337023119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7.6000000000000017E-3"/>
            <c:intercept val="-1.8180000000000002E-2"/>
            <c:dispRSqr val="0"/>
            <c:dispEq val="0"/>
          </c:trendline>
          <c:xVal>
            <c:numRef>
              <c:f>Лист1!$I$48:$I$52</c:f>
              <c:numCache>
                <c:formatCode>General</c:formatCode>
                <c:ptCount val="5"/>
                <c:pt idx="0">
                  <c:v>7.6923076923076927E-3</c:v>
                </c:pt>
                <c:pt idx="1">
                  <c:v>2.1794871794871794E-2</c:v>
                </c:pt>
                <c:pt idx="2">
                  <c:v>3.2051282051282048E-2</c:v>
                </c:pt>
                <c:pt idx="3">
                  <c:v>4.3589743589743588E-2</c:v>
                </c:pt>
                <c:pt idx="4">
                  <c:v>5.5128205128205127E-2</c:v>
                </c:pt>
              </c:numCache>
            </c:numRef>
          </c:xVal>
          <c:yVal>
            <c:numRef>
              <c:f>Лист1!$J$48:$J$52</c:f>
              <c:numCache>
                <c:formatCode>General</c:formatCode>
                <c:ptCount val="5"/>
                <c:pt idx="0">
                  <c:v>7.5698757763975139E-2</c:v>
                </c:pt>
                <c:pt idx="1">
                  <c:v>0.16723842195540314</c:v>
                </c:pt>
                <c:pt idx="2">
                  <c:v>0.25536930330015722</c:v>
                </c:pt>
                <c:pt idx="3">
                  <c:v>0.32826747720364741</c:v>
                </c:pt>
                <c:pt idx="4">
                  <c:v>0.41785714285714293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44-42A3-B3EC-8753F16ED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033648"/>
        <c:axId val="312034632"/>
      </c:scatterChart>
      <c:valAx>
        <c:axId val="31203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sin(a)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034632"/>
        <c:crosses val="autoZero"/>
        <c:crossBetween val="midCat"/>
      </c:valAx>
      <c:valAx>
        <c:axId val="312034632"/>
        <c:scaling>
          <c:orientation val="minMax"/>
          <c:max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a,</a:t>
                </a:r>
                <a:r>
                  <a:rPr lang="en-US" baseline="0"/>
                  <a:t> </a:t>
                </a:r>
                <a:r>
                  <a:rPr lang="ru-RU" baseline="0"/>
                  <a:t>м</a:t>
                </a:r>
                <a:r>
                  <a:rPr lang="en-US" baseline="0"/>
                  <a:t>/c^2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203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835106</xdr:colOff>
      <xdr:row>1</xdr:row>
      <xdr:rowOff>112058</xdr:rowOff>
    </xdr:from>
    <xdr:to>
      <xdr:col>15</xdr:col>
      <xdr:colOff>278433</xdr:colOff>
      <xdr:row>15</xdr:row>
      <xdr:rowOff>140455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B617D874-372D-4078-9DD0-A17D9AAF4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545123</xdr:colOff>
      <xdr:row>3</xdr:row>
      <xdr:rowOff>158728</xdr:rowOff>
    </xdr:from>
    <xdr:to>
      <xdr:col>24</xdr:col>
      <xdr:colOff>78810</xdr:colOff>
      <xdr:row>20</xdr:row>
      <xdr:rowOff>70338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66DD8250-139F-4427-85B5-A8DC42FBA8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EB110-BF19-4B2E-8380-3EF92C8E4783}">
  <dimension ref="A1:V62"/>
  <sheetViews>
    <sheetView tabSelected="1" topLeftCell="J39" zoomScale="115" zoomScaleNormal="115" workbookViewId="0">
      <selection activeCell="Q56" sqref="Q56"/>
    </sheetView>
  </sheetViews>
  <sheetFormatPr defaultRowHeight="14.4" x14ac:dyDescent="0.3"/>
  <cols>
    <col min="1" max="1" width="21.5546875" customWidth="1"/>
    <col min="2" max="2" width="19.33203125" customWidth="1"/>
    <col min="3" max="3" width="13.6640625" customWidth="1"/>
    <col min="4" max="4" width="14.5546875" customWidth="1"/>
    <col min="5" max="5" width="13" customWidth="1"/>
    <col min="6" max="6" width="13.109375" customWidth="1"/>
    <col min="7" max="7" width="21.44140625" customWidth="1"/>
    <col min="8" max="8" width="27.109375" customWidth="1"/>
    <col min="9" max="9" width="37.6640625" customWidth="1"/>
    <col min="10" max="10" width="13.44140625" customWidth="1"/>
    <col min="11" max="11" width="18.88671875" customWidth="1"/>
    <col min="12" max="12" width="15.6640625" customWidth="1"/>
    <col min="13" max="13" width="11.33203125" customWidth="1"/>
    <col min="14" max="14" width="16.6640625" customWidth="1"/>
    <col min="15" max="15" width="8.88671875" customWidth="1"/>
    <col min="20" max="20" width="12.33203125" bestFit="1" customWidth="1"/>
  </cols>
  <sheetData>
    <row r="1" spans="1:11" ht="15" thickBot="1" x14ac:dyDescent="0.35">
      <c r="A1" s="28" t="s">
        <v>15</v>
      </c>
      <c r="B1" s="28"/>
      <c r="C1" s="28"/>
      <c r="D1" s="28"/>
      <c r="E1" s="28"/>
      <c r="F1" s="4"/>
      <c r="G1" s="4" t="s">
        <v>66</v>
      </c>
      <c r="H1" s="49" t="s">
        <v>36</v>
      </c>
      <c r="I1" s="49"/>
    </row>
    <row r="2" spans="1:11" x14ac:dyDescent="0.3">
      <c r="A2" s="13" t="s">
        <v>0</v>
      </c>
      <c r="B2" s="14" t="s">
        <v>1</v>
      </c>
      <c r="C2" s="14" t="s">
        <v>2</v>
      </c>
      <c r="D2" s="14" t="s">
        <v>3</v>
      </c>
      <c r="E2" s="15" t="s">
        <v>4</v>
      </c>
      <c r="F2" s="4"/>
      <c r="G2" s="12"/>
      <c r="H2" s="17" t="s">
        <v>32</v>
      </c>
      <c r="I2" s="17" t="s">
        <v>33</v>
      </c>
    </row>
    <row r="3" spans="1:11" x14ac:dyDescent="0.3">
      <c r="A3" s="5" t="s">
        <v>5</v>
      </c>
      <c r="B3" s="2" t="s">
        <v>6</v>
      </c>
      <c r="C3" s="2" t="s">
        <v>12</v>
      </c>
      <c r="D3" s="2" t="s">
        <v>7</v>
      </c>
      <c r="E3" s="3">
        <v>5</v>
      </c>
      <c r="F3" s="9" t="s">
        <v>34</v>
      </c>
      <c r="G3" s="4"/>
      <c r="H3" s="2">
        <f>SQRT($E$3*$E$3 + $E$3*$E$3)</f>
        <v>7.0710678118654755</v>
      </c>
      <c r="I3" s="2">
        <f>SQRT(POWER(E14*$E$5, 2) + POWER(D14*$E$5, 2))</f>
        <v>0.26832815729997478</v>
      </c>
    </row>
    <row r="4" spans="1:11" x14ac:dyDescent="0.3">
      <c r="A4" s="5" t="s">
        <v>8</v>
      </c>
      <c r="B4" s="2" t="s">
        <v>10</v>
      </c>
      <c r="C4" s="2" t="s">
        <v>13</v>
      </c>
      <c r="D4" s="2" t="s">
        <v>7</v>
      </c>
      <c r="E4" s="3">
        <v>0.5</v>
      </c>
      <c r="F4" s="9" t="s">
        <v>34</v>
      </c>
      <c r="G4" s="4"/>
      <c r="H4" s="2">
        <f t="shared" ref="H4:H7" si="0">SQRT($E$3*$E$3 + $E$3*$E$3)</f>
        <v>7.0710678118654755</v>
      </c>
      <c r="I4" s="2">
        <f t="shared" ref="I4:I7" si="1">SQRT(POWER(E15*$E$5, 2) + POWER(D15*$E$5, 2))</f>
        <v>0.29546573405388316</v>
      </c>
    </row>
    <row r="5" spans="1:11" ht="15" thickBot="1" x14ac:dyDescent="0.35">
      <c r="A5" s="6" t="s">
        <v>9</v>
      </c>
      <c r="B5" s="7" t="s">
        <v>11</v>
      </c>
      <c r="C5" s="7" t="s">
        <v>14</v>
      </c>
      <c r="D5" s="7" t="s">
        <v>7</v>
      </c>
      <c r="E5" s="8">
        <v>0.1</v>
      </c>
      <c r="F5" s="9" t="s">
        <v>35</v>
      </c>
      <c r="G5" s="4"/>
      <c r="H5" s="2">
        <f t="shared" si="0"/>
        <v>7.0710678118654755</v>
      </c>
      <c r="I5" s="2">
        <f t="shared" si="1"/>
        <v>0.34176014981270131</v>
      </c>
    </row>
    <row r="6" spans="1:11" x14ac:dyDescent="0.3">
      <c r="A6" s="4"/>
      <c r="B6" s="4"/>
      <c r="C6" s="4"/>
      <c r="D6" s="4"/>
      <c r="E6" s="4"/>
      <c r="F6" s="4"/>
      <c r="G6" s="4"/>
      <c r="H6" s="2">
        <f t="shared" si="0"/>
        <v>7.0710678118654755</v>
      </c>
      <c r="I6" s="2">
        <f t="shared" si="1"/>
        <v>0.39849717690342551</v>
      </c>
    </row>
    <row r="7" spans="1:11" ht="15" thickBot="1" x14ac:dyDescent="0.35">
      <c r="A7" s="28" t="s">
        <v>16</v>
      </c>
      <c r="B7" s="28"/>
      <c r="C7" s="28"/>
      <c r="D7" s="28"/>
      <c r="E7" s="4"/>
      <c r="F7" s="4"/>
      <c r="G7" s="4"/>
      <c r="H7" s="2">
        <f t="shared" si="0"/>
        <v>7.0710678118654755</v>
      </c>
      <c r="I7" s="2">
        <f t="shared" si="1"/>
        <v>0.42449970553582245</v>
      </c>
    </row>
    <row r="8" spans="1:11" x14ac:dyDescent="0.3">
      <c r="A8" s="13" t="s">
        <v>75</v>
      </c>
      <c r="B8" s="23" t="s">
        <v>76</v>
      </c>
      <c r="C8" s="14" t="s">
        <v>73</v>
      </c>
      <c r="D8" s="16" t="s">
        <v>17</v>
      </c>
      <c r="E8" s="11"/>
      <c r="F8" s="4"/>
      <c r="G8" s="4"/>
    </row>
    <row r="9" spans="1:11" ht="15" thickBot="1" x14ac:dyDescent="0.35">
      <c r="A9" s="6">
        <v>220</v>
      </c>
      <c r="B9" s="7">
        <v>1000</v>
      </c>
      <c r="C9" s="7">
        <v>167</v>
      </c>
      <c r="D9" s="10">
        <v>164</v>
      </c>
      <c r="E9" s="11"/>
      <c r="F9" s="4"/>
      <c r="G9" s="4"/>
    </row>
    <row r="10" spans="1:11" x14ac:dyDescent="0.3">
      <c r="A10" s="4"/>
      <c r="B10" s="4"/>
      <c r="C10" s="4"/>
      <c r="D10" s="4"/>
      <c r="E10" s="4"/>
      <c r="F10" s="4"/>
      <c r="G10" s="4"/>
    </row>
    <row r="11" spans="1:11" ht="15" thickBot="1" x14ac:dyDescent="0.35">
      <c r="A11" s="28" t="s">
        <v>18</v>
      </c>
      <c r="B11" s="28"/>
      <c r="C11" s="28"/>
      <c r="D11" s="28"/>
      <c r="E11" s="28"/>
      <c r="F11" s="28"/>
      <c r="G11" s="28"/>
    </row>
    <row r="12" spans="1:11" x14ac:dyDescent="0.3">
      <c r="A12" s="44" t="s">
        <v>20</v>
      </c>
      <c r="B12" s="42" t="s">
        <v>21</v>
      </c>
      <c r="C12" s="47"/>
      <c r="D12" s="47"/>
      <c r="E12" s="48"/>
      <c r="F12" s="42" t="s">
        <v>22</v>
      </c>
      <c r="G12" s="43"/>
    </row>
    <row r="13" spans="1:11" x14ac:dyDescent="0.3">
      <c r="A13" s="45"/>
      <c r="B13" s="17" t="s">
        <v>23</v>
      </c>
      <c r="C13" s="17" t="s">
        <v>24</v>
      </c>
      <c r="D13" s="17" t="s">
        <v>25</v>
      </c>
      <c r="E13" s="17" t="s">
        <v>26</v>
      </c>
      <c r="F13" s="17" t="s">
        <v>31</v>
      </c>
      <c r="G13" s="3" t="s">
        <v>74</v>
      </c>
    </row>
    <row r="14" spans="1:11" x14ac:dyDescent="0.3">
      <c r="A14" s="5">
        <v>1</v>
      </c>
      <c r="B14" s="24">
        <v>0.15</v>
      </c>
      <c r="C14" s="24">
        <v>0.4</v>
      </c>
      <c r="D14" s="24">
        <v>1.2</v>
      </c>
      <c r="E14" s="24">
        <v>2.4</v>
      </c>
      <c r="F14" s="24">
        <f>C14-B14</f>
        <v>0.25</v>
      </c>
      <c r="G14" s="3">
        <f>(E14*E14-D14*D14)/2</f>
        <v>2.16</v>
      </c>
    </row>
    <row r="15" spans="1:11" x14ac:dyDescent="0.3">
      <c r="A15" s="5">
        <v>2</v>
      </c>
      <c r="B15" s="24">
        <v>0.15</v>
      </c>
      <c r="C15" s="24">
        <v>0.5</v>
      </c>
      <c r="D15" s="24">
        <v>1.2</v>
      </c>
      <c r="E15" s="24">
        <v>2.7</v>
      </c>
      <c r="F15" s="24">
        <f t="shared" ref="F15:F18" si="2">C15-B15</f>
        <v>0.35</v>
      </c>
      <c r="G15" s="3">
        <f t="shared" ref="G15:G18" si="3">(E15*E15-D15*D15)/2</f>
        <v>2.9250000000000007</v>
      </c>
    </row>
    <row r="16" spans="1:11" x14ac:dyDescent="0.3">
      <c r="A16" s="5">
        <v>3</v>
      </c>
      <c r="B16" s="24">
        <v>0.15</v>
      </c>
      <c r="C16" s="24">
        <v>0.7</v>
      </c>
      <c r="D16" s="24">
        <v>1.2</v>
      </c>
      <c r="E16" s="24">
        <v>3.2</v>
      </c>
      <c r="F16" s="24">
        <f t="shared" si="2"/>
        <v>0.54999999999999993</v>
      </c>
      <c r="G16" s="3">
        <f t="shared" si="3"/>
        <v>4.4000000000000012</v>
      </c>
      <c r="I16" s="39" t="s">
        <v>54</v>
      </c>
      <c r="J16" s="40"/>
      <c r="K16" s="41"/>
    </row>
    <row r="17" spans="1:20" x14ac:dyDescent="0.3">
      <c r="A17" s="5">
        <v>4</v>
      </c>
      <c r="B17" s="24">
        <v>0.15</v>
      </c>
      <c r="C17" s="24">
        <v>0.9</v>
      </c>
      <c r="D17" s="24">
        <v>1.2</v>
      </c>
      <c r="E17" s="24">
        <v>3.8</v>
      </c>
      <c r="F17" s="24">
        <f t="shared" si="2"/>
        <v>0.75</v>
      </c>
      <c r="G17" s="3">
        <f t="shared" si="3"/>
        <v>6.5</v>
      </c>
      <c r="I17" s="36" t="s">
        <v>42</v>
      </c>
      <c r="J17" s="37"/>
      <c r="K17" s="38"/>
    </row>
    <row r="18" spans="1:20" ht="15" thickBot="1" x14ac:dyDescent="0.35">
      <c r="A18" s="6">
        <v>5</v>
      </c>
      <c r="B18" s="7">
        <v>0.15</v>
      </c>
      <c r="C18" s="7">
        <v>1.1000000000000001</v>
      </c>
      <c r="D18" s="7">
        <v>1.1000000000000001</v>
      </c>
      <c r="E18" s="7">
        <v>4.0999999999999996</v>
      </c>
      <c r="F18" s="7">
        <f t="shared" si="2"/>
        <v>0.95000000000000007</v>
      </c>
      <c r="G18" s="3">
        <f t="shared" si="3"/>
        <v>7.7999999999999989</v>
      </c>
      <c r="I18" s="36" t="s">
        <v>43</v>
      </c>
      <c r="J18" s="37"/>
      <c r="K18" s="38"/>
    </row>
    <row r="19" spans="1:20" x14ac:dyDescent="0.3">
      <c r="I19" s="33" t="s">
        <v>44</v>
      </c>
      <c r="J19" s="34"/>
      <c r="K19" s="35"/>
    </row>
    <row r="20" spans="1:20" x14ac:dyDescent="0.3">
      <c r="A20" s="49" t="s">
        <v>19</v>
      </c>
      <c r="B20" s="49"/>
      <c r="C20" s="49"/>
      <c r="D20" s="49"/>
      <c r="E20" s="49"/>
      <c r="F20" s="49"/>
      <c r="H20" s="32"/>
      <c r="I20" s="32"/>
      <c r="J20" s="32"/>
      <c r="K20" s="32"/>
      <c r="L20" s="32"/>
      <c r="M20" s="32"/>
    </row>
    <row r="21" spans="1:20" x14ac:dyDescent="0.3">
      <c r="A21" s="17" t="s">
        <v>27</v>
      </c>
      <c r="B21" s="17" t="s">
        <v>28</v>
      </c>
      <c r="C21" s="17" t="s">
        <v>29</v>
      </c>
      <c r="D21" s="17" t="s">
        <v>20</v>
      </c>
      <c r="E21" s="17" t="s">
        <v>30</v>
      </c>
      <c r="F21" s="17" t="s">
        <v>26</v>
      </c>
      <c r="H21" s="17" t="s">
        <v>37</v>
      </c>
      <c r="I21" s="17" t="s">
        <v>38</v>
      </c>
      <c r="J21" s="17" t="s">
        <v>39</v>
      </c>
      <c r="K21" s="17" t="s">
        <v>40</v>
      </c>
      <c r="L21" s="17" t="s">
        <v>41</v>
      </c>
      <c r="M21" s="20" t="s">
        <v>53</v>
      </c>
    </row>
    <row r="22" spans="1:20" x14ac:dyDescent="0.3">
      <c r="A22" s="29">
        <v>1</v>
      </c>
      <c r="B22" s="29">
        <v>158</v>
      </c>
      <c r="C22" s="29">
        <v>164</v>
      </c>
      <c r="D22" s="19">
        <v>1</v>
      </c>
      <c r="E22" s="19">
        <v>1</v>
      </c>
      <c r="F22" s="19">
        <v>4</v>
      </c>
      <c r="H22" s="2">
        <f>F14</f>
        <v>0.25</v>
      </c>
      <c r="I22" s="2">
        <f>G14</f>
        <v>2.16</v>
      </c>
      <c r="J22" s="2">
        <f>H22*I22</f>
        <v>0.54</v>
      </c>
      <c r="K22" s="29">
        <f>SUM(J22:J26)</f>
        <v>16.268750000000001</v>
      </c>
      <c r="L22" s="2">
        <f>J22*J22</f>
        <v>0.29160000000000003</v>
      </c>
      <c r="M22" s="29">
        <f>K22/SUM(L22:L26)</f>
        <v>0.18945836687870346</v>
      </c>
    </row>
    <row r="23" spans="1:20" x14ac:dyDescent="0.3">
      <c r="A23" s="30"/>
      <c r="B23" s="30"/>
      <c r="C23" s="30"/>
      <c r="D23" s="19">
        <v>2</v>
      </c>
      <c r="E23" s="19">
        <v>0.9</v>
      </c>
      <c r="F23" s="19">
        <v>3.9</v>
      </c>
      <c r="H23" s="2">
        <f t="shared" ref="H23:H26" si="4">F15</f>
        <v>0.35</v>
      </c>
      <c r="I23" s="2">
        <f t="shared" ref="I23:I26" si="5">G15</f>
        <v>2.9250000000000007</v>
      </c>
      <c r="J23" s="2">
        <f t="shared" ref="J23:J26" si="6">H23*I23</f>
        <v>1.0237500000000002</v>
      </c>
      <c r="K23" s="30"/>
      <c r="L23" s="2">
        <f t="shared" ref="L23:L26" si="7">J23*J23</f>
        <v>1.0480640625000004</v>
      </c>
      <c r="M23" s="30"/>
    </row>
    <row r="24" spans="1:20" x14ac:dyDescent="0.3">
      <c r="A24" s="30"/>
      <c r="B24" s="30"/>
      <c r="C24" s="30"/>
      <c r="D24" s="19">
        <v>3</v>
      </c>
      <c r="E24" s="19">
        <v>1</v>
      </c>
      <c r="F24" s="19">
        <v>4</v>
      </c>
      <c r="H24" s="2">
        <f t="shared" si="4"/>
        <v>0.54999999999999993</v>
      </c>
      <c r="I24" s="2">
        <f t="shared" si="5"/>
        <v>4.4000000000000012</v>
      </c>
      <c r="J24" s="2">
        <f t="shared" si="6"/>
        <v>2.4200000000000004</v>
      </c>
      <c r="K24" s="30"/>
      <c r="L24" s="2">
        <f t="shared" si="7"/>
        <v>5.8564000000000016</v>
      </c>
      <c r="M24" s="30"/>
    </row>
    <row r="25" spans="1:20" x14ac:dyDescent="0.3">
      <c r="A25" s="30"/>
      <c r="B25" s="30"/>
      <c r="C25" s="30"/>
      <c r="D25" s="19">
        <v>4</v>
      </c>
      <c r="E25" s="19">
        <v>1.1000000000000001</v>
      </c>
      <c r="F25" s="19">
        <v>4.0999999999999996</v>
      </c>
      <c r="H25" s="2">
        <f t="shared" si="4"/>
        <v>0.75</v>
      </c>
      <c r="I25" s="2">
        <f t="shared" si="5"/>
        <v>6.5</v>
      </c>
      <c r="J25" s="2">
        <f t="shared" si="6"/>
        <v>4.875</v>
      </c>
      <c r="K25" s="30"/>
      <c r="L25" s="2">
        <f t="shared" si="7"/>
        <v>23.765625</v>
      </c>
      <c r="M25" s="30"/>
    </row>
    <row r="26" spans="1:20" x14ac:dyDescent="0.3">
      <c r="A26" s="31"/>
      <c r="B26" s="31"/>
      <c r="C26" s="31"/>
      <c r="D26" s="19">
        <v>5</v>
      </c>
      <c r="E26" s="25">
        <v>1.1000000000000001</v>
      </c>
      <c r="F26" s="19">
        <v>4.0999999999999996</v>
      </c>
      <c r="H26" s="2">
        <f t="shared" si="4"/>
        <v>0.95000000000000007</v>
      </c>
      <c r="I26" s="2">
        <f t="shared" si="5"/>
        <v>7.7999999999999989</v>
      </c>
      <c r="J26" s="2">
        <f t="shared" si="6"/>
        <v>7.4099999999999993</v>
      </c>
      <c r="K26" s="31"/>
      <c r="L26" s="2">
        <f t="shared" si="7"/>
        <v>54.90809999999999</v>
      </c>
      <c r="M26" s="31"/>
    </row>
    <row r="27" spans="1:20" x14ac:dyDescent="0.3">
      <c r="A27" s="29">
        <v>2</v>
      </c>
      <c r="B27" s="29">
        <v>149</v>
      </c>
      <c r="C27" s="29">
        <v>164</v>
      </c>
      <c r="D27" s="19">
        <v>1</v>
      </c>
      <c r="E27" s="19">
        <v>0.8</v>
      </c>
      <c r="F27" s="19">
        <v>3</v>
      </c>
    </row>
    <row r="28" spans="1:20" x14ac:dyDescent="0.3">
      <c r="A28" s="30"/>
      <c r="B28" s="30"/>
      <c r="C28" s="30"/>
      <c r="D28" s="19">
        <v>2</v>
      </c>
      <c r="E28" s="25">
        <v>0.8</v>
      </c>
      <c r="F28" s="19">
        <v>2.9</v>
      </c>
      <c r="G28" t="s">
        <v>67</v>
      </c>
      <c r="H28" s="32" t="s">
        <v>72</v>
      </c>
      <c r="I28" s="32"/>
      <c r="J28" s="32"/>
      <c r="K28" s="32"/>
    </row>
    <row r="29" spans="1:20" x14ac:dyDescent="0.3">
      <c r="A29" s="30"/>
      <c r="B29" s="30"/>
      <c r="C29" s="30"/>
      <c r="D29" s="19">
        <v>3</v>
      </c>
      <c r="E29" s="25">
        <v>0.8</v>
      </c>
      <c r="F29" s="19">
        <v>3</v>
      </c>
      <c r="H29" s="18" t="s">
        <v>45</v>
      </c>
      <c r="I29" s="18" t="s">
        <v>46</v>
      </c>
      <c r="J29" s="17" t="s">
        <v>47</v>
      </c>
      <c r="K29" s="17" t="s">
        <v>48</v>
      </c>
      <c r="M29" s="18" t="s">
        <v>55</v>
      </c>
      <c r="N29" s="18" t="s">
        <v>56</v>
      </c>
      <c r="O29" s="18" t="s">
        <v>57</v>
      </c>
      <c r="P29" s="18" t="s">
        <v>58</v>
      </c>
      <c r="Q29" s="18" t="s">
        <v>84</v>
      </c>
      <c r="R29" s="18" t="s">
        <v>33</v>
      </c>
      <c r="S29" s="27" t="s">
        <v>77</v>
      </c>
      <c r="T29" s="26" t="s">
        <v>78</v>
      </c>
    </row>
    <row r="30" spans="1:20" x14ac:dyDescent="0.3">
      <c r="A30" s="30"/>
      <c r="B30" s="30"/>
      <c r="C30" s="30"/>
      <c r="D30" s="19">
        <v>4</v>
      </c>
      <c r="E30" s="25">
        <v>0.8</v>
      </c>
      <c r="F30" s="19">
        <v>2.9</v>
      </c>
      <c r="H30" s="1">
        <f>POWER(H22-$M$22*I22, 2)</f>
        <v>2.535421597497978E-2</v>
      </c>
      <c r="I30" s="29">
        <f>SUM(H30:H34)</f>
        <v>0.65784548052280267</v>
      </c>
      <c r="J30" s="29">
        <v>5</v>
      </c>
      <c r="K30" s="29">
        <f>SQRT(I30/4/SUM(L22:L26))</f>
        <v>4.376347041815689E-2</v>
      </c>
      <c r="M30" s="1">
        <f>AVERAGE(E22:E26)</f>
        <v>1.02</v>
      </c>
      <c r="N30" s="1">
        <f>AVERAGE(F22:F26)</f>
        <v>4.0200000000000005</v>
      </c>
      <c r="O30" s="1">
        <v>6.9346152661043997E-3</v>
      </c>
      <c r="P30" s="1">
        <v>7.7751695944347004E-3</v>
      </c>
      <c r="Q30" s="1">
        <f>L42*SQRT((2*(0.005*0.005)) /(0.78*0.78) + 4*((M30*O30)*(M30*O30) +(N30*P30)*(N30*P30))/((N30*N30-M30*M30)*(N30*N30-M30*M30)))</f>
        <v>1.0325275747675212E-3</v>
      </c>
      <c r="R30" s="1">
        <f>SQRT(POWER(E14*$E$5, 2) + POWER(D14*$E$5, 2))</f>
        <v>0.26832815729997478</v>
      </c>
      <c r="S30">
        <v>4.1952353926806102E-2</v>
      </c>
      <c r="T30">
        <v>0.116627543916521</v>
      </c>
    </row>
    <row r="31" spans="1:20" x14ac:dyDescent="0.3">
      <c r="A31" s="31"/>
      <c r="B31" s="31"/>
      <c r="C31" s="31"/>
      <c r="D31" s="19">
        <v>5</v>
      </c>
      <c r="E31" s="25">
        <v>0.8</v>
      </c>
      <c r="F31" s="19">
        <v>2.9</v>
      </c>
      <c r="H31" s="1">
        <f t="shared" ref="H31:H34" si="8">POWER(H23-$M$22*I23, 2)</f>
        <v>4.1683642497197332E-2</v>
      </c>
      <c r="I31" s="30"/>
      <c r="J31" s="30"/>
      <c r="K31" s="30"/>
      <c r="M31" s="1">
        <f>AVERAGE(E27:E31)</f>
        <v>0.8</v>
      </c>
      <c r="N31" s="1">
        <f>AVERAGE(F27:F31)</f>
        <v>2.9400000000000004</v>
      </c>
      <c r="O31" s="1">
        <v>0</v>
      </c>
      <c r="P31" s="1">
        <v>4.5397209899582002E-3</v>
      </c>
      <c r="Q31" s="1">
        <f t="shared" ref="Q31:Q34" si="9">L43*SQRT((2*(0.005*0.005)) /(0.78*0.78) + 4*((M31*O31)*(M31*O31) +(N31*P31)*(N31*P31))/((N31*N31-M31*M31)*(N31*N31-M31*M31)))</f>
        <v>1.8827588302791759E-3</v>
      </c>
      <c r="R31" s="1">
        <f t="shared" ref="R31:R34" si="10">SQRT(POWER(E15*$E$5, 2) + POWER(D15*$E$5, 2))</f>
        <v>0.29546573405388316</v>
      </c>
      <c r="S31">
        <v>2.4494897427831799E-2</v>
      </c>
      <c r="T31">
        <v>6.8095814849372396E-2</v>
      </c>
    </row>
    <row r="32" spans="1:20" x14ac:dyDescent="0.3">
      <c r="A32" s="46">
        <v>3</v>
      </c>
      <c r="B32" s="29">
        <v>140</v>
      </c>
      <c r="C32" s="29">
        <v>163</v>
      </c>
      <c r="D32" s="19">
        <v>1</v>
      </c>
      <c r="E32" s="19">
        <v>0.7</v>
      </c>
      <c r="F32" s="19">
        <v>2.5</v>
      </c>
      <c r="H32" s="1">
        <f t="shared" si="8"/>
        <v>8.0438497334562348E-2</v>
      </c>
      <c r="I32" s="30"/>
      <c r="J32" s="30"/>
      <c r="K32" s="30"/>
      <c r="M32" s="1">
        <f>AVERAGE(E32:E36)</f>
        <v>0.7</v>
      </c>
      <c r="N32" s="1">
        <f>AVERAGE(F32:F36)</f>
        <v>2.5</v>
      </c>
      <c r="O32" s="1">
        <v>0</v>
      </c>
      <c r="P32" s="1">
        <v>0</v>
      </c>
      <c r="Q32" s="1">
        <f t="shared" si="9"/>
        <v>2.4552318791199569E-3</v>
      </c>
      <c r="R32" s="1">
        <f t="shared" si="10"/>
        <v>0.34176014981270131</v>
      </c>
      <c r="S32">
        <v>0</v>
      </c>
    </row>
    <row r="33" spans="1:22" x14ac:dyDescent="0.3">
      <c r="A33" s="46"/>
      <c r="B33" s="30"/>
      <c r="C33" s="30"/>
      <c r="D33" s="19">
        <v>2</v>
      </c>
      <c r="E33" s="25">
        <v>0.7</v>
      </c>
      <c r="F33" s="25">
        <v>2.5</v>
      </c>
      <c r="H33" s="1">
        <f t="shared" si="8"/>
        <v>0.23182239790223452</v>
      </c>
      <c r="I33" s="30"/>
      <c r="J33" s="30"/>
      <c r="K33" s="30"/>
      <c r="M33" s="1">
        <f>AVERAGE(E37:E41)</f>
        <v>0.6</v>
      </c>
      <c r="N33" s="1">
        <f>AVERAGE(F37:F41)</f>
        <v>2.12</v>
      </c>
      <c r="O33" s="1">
        <v>0</v>
      </c>
      <c r="P33" s="1">
        <v>0</v>
      </c>
      <c r="Q33" s="1">
        <f t="shared" si="9"/>
        <v>3.4206016891764096E-3</v>
      </c>
      <c r="R33" s="1">
        <f t="shared" si="10"/>
        <v>0.39849717690342551</v>
      </c>
      <c r="S33">
        <v>0</v>
      </c>
    </row>
    <row r="34" spans="1:22" x14ac:dyDescent="0.3">
      <c r="A34" s="46"/>
      <c r="B34" s="30"/>
      <c r="C34" s="30"/>
      <c r="D34" s="19">
        <v>3</v>
      </c>
      <c r="E34" s="25">
        <v>0.7</v>
      </c>
      <c r="F34" s="25">
        <v>2.5</v>
      </c>
      <c r="H34" s="1">
        <f t="shared" si="8"/>
        <v>0.27854672681382864</v>
      </c>
      <c r="I34" s="31"/>
      <c r="J34" s="31"/>
      <c r="K34" s="31"/>
      <c r="M34" s="1">
        <f>AVERAGE(E42:E46)</f>
        <v>0.6</v>
      </c>
      <c r="N34" s="1">
        <f>AVERAGE(F42:F46)</f>
        <v>1.9</v>
      </c>
      <c r="O34" s="1">
        <v>0</v>
      </c>
      <c r="P34" s="1">
        <v>0</v>
      </c>
      <c r="Q34" s="1">
        <f t="shared" si="9"/>
        <v>4.3514263457633696E-3</v>
      </c>
      <c r="R34" s="1">
        <f t="shared" si="10"/>
        <v>0.42449970553582245</v>
      </c>
      <c r="S34">
        <v>0</v>
      </c>
    </row>
    <row r="35" spans="1:22" x14ac:dyDescent="0.3">
      <c r="A35" s="46"/>
      <c r="B35" s="30"/>
      <c r="C35" s="30"/>
      <c r="D35" s="19">
        <v>4</v>
      </c>
      <c r="E35" s="25">
        <v>0.7</v>
      </c>
      <c r="F35" s="25">
        <v>2.5</v>
      </c>
    </row>
    <row r="36" spans="1:22" x14ac:dyDescent="0.3">
      <c r="A36" s="46"/>
      <c r="B36" s="31"/>
      <c r="C36" s="31"/>
      <c r="D36" s="19">
        <v>5</v>
      </c>
      <c r="E36" s="25">
        <v>0.7</v>
      </c>
      <c r="F36" s="25">
        <v>2.5</v>
      </c>
      <c r="H36" s="17" t="s">
        <v>49</v>
      </c>
      <c r="I36" s="17" t="s">
        <v>50</v>
      </c>
    </row>
    <row r="37" spans="1:22" x14ac:dyDescent="0.3">
      <c r="A37" s="30">
        <v>4</v>
      </c>
      <c r="B37" s="29">
        <v>130</v>
      </c>
      <c r="C37" s="29">
        <v>163</v>
      </c>
      <c r="D37" s="19">
        <v>1</v>
      </c>
      <c r="E37" s="19">
        <v>0.6</v>
      </c>
      <c r="F37" s="19">
        <v>2.1</v>
      </c>
      <c r="H37" s="1">
        <f>2*K30</f>
        <v>8.752694083631378E-2</v>
      </c>
      <c r="I37" s="1">
        <f>H37/M22*100</f>
        <v>46.198509085825158</v>
      </c>
      <c r="J37" t="s">
        <v>68</v>
      </c>
    </row>
    <row r="38" spans="1:22" x14ac:dyDescent="0.3">
      <c r="A38" s="30"/>
      <c r="B38" s="30"/>
      <c r="C38" s="30"/>
      <c r="D38" s="19">
        <v>2</v>
      </c>
      <c r="E38" s="25">
        <v>0.6</v>
      </c>
      <c r="F38" s="25">
        <v>2.1</v>
      </c>
    </row>
    <row r="39" spans="1:22" x14ac:dyDescent="0.3">
      <c r="A39" s="30"/>
      <c r="B39" s="30"/>
      <c r="C39" s="30"/>
      <c r="D39" s="19">
        <v>3</v>
      </c>
      <c r="E39" s="25">
        <v>0.6</v>
      </c>
      <c r="F39" s="19">
        <v>2.2000000000000002</v>
      </c>
      <c r="H39" s="21" t="s">
        <v>51</v>
      </c>
    </row>
    <row r="40" spans="1:22" x14ac:dyDescent="0.3">
      <c r="A40" s="30"/>
      <c r="B40" s="30"/>
      <c r="C40" s="30"/>
      <c r="D40" s="19">
        <v>4</v>
      </c>
      <c r="E40" s="25">
        <v>0.6</v>
      </c>
      <c r="F40" s="25">
        <v>2.1</v>
      </c>
      <c r="H40" s="1" t="s">
        <v>52</v>
      </c>
    </row>
    <row r="41" spans="1:22" x14ac:dyDescent="0.3">
      <c r="A41" s="30"/>
      <c r="B41" s="30"/>
      <c r="C41" s="30"/>
      <c r="D41" s="19">
        <v>5</v>
      </c>
      <c r="E41" s="25">
        <v>0.6</v>
      </c>
      <c r="F41" s="25">
        <v>2.1</v>
      </c>
      <c r="H41" t="s">
        <v>83</v>
      </c>
      <c r="I41" t="s">
        <v>82</v>
      </c>
      <c r="J41" t="s">
        <v>81</v>
      </c>
      <c r="K41" t="s">
        <v>80</v>
      </c>
      <c r="L41" t="s">
        <v>79</v>
      </c>
      <c r="M41" t="s">
        <v>84</v>
      </c>
      <c r="N41" t="s">
        <v>85</v>
      </c>
      <c r="O41" t="s">
        <v>86</v>
      </c>
      <c r="R41" t="s">
        <v>97</v>
      </c>
      <c r="S41" t="s">
        <v>98</v>
      </c>
      <c r="T41" t="s">
        <v>87</v>
      </c>
    </row>
    <row r="42" spans="1:22" ht="15.6" x14ac:dyDescent="0.3">
      <c r="A42" s="29">
        <v>5</v>
      </c>
      <c r="B42" s="29">
        <v>121</v>
      </c>
      <c r="C42" s="29">
        <v>162</v>
      </c>
      <c r="D42" s="19">
        <v>1</v>
      </c>
      <c r="E42" s="25">
        <v>0.6</v>
      </c>
      <c r="F42" s="25">
        <v>1.9</v>
      </c>
      <c r="H42" s="22">
        <v>1</v>
      </c>
      <c r="I42" s="22">
        <f>(($C$9-B22)-($D$9-C22))/($B$9-$A$9)</f>
        <v>1.1538461538461539E-2</v>
      </c>
      <c r="J42" s="22">
        <f t="shared" ref="J42:K46" si="11">M30+O30</f>
        <v>1.0269346152661045</v>
      </c>
      <c r="K42" s="22">
        <f t="shared" si="11"/>
        <v>4.0277751695944355</v>
      </c>
      <c r="L42" s="22">
        <f>(2*0.78)/((N30*N30)-(M30*M30))</f>
        <v>0.10317460317460315</v>
      </c>
      <c r="M42" s="1">
        <f>L42*SQRT((2*(0.005*0.005)) /(0.78*0.78) + 4*((M30*O30)*(M30*O30) +(N30*P30)*(N30*P30))/((N30*N30-M30*M30)*(N30*N30-M30*M30)))</f>
        <v>1.0325275747675212E-3</v>
      </c>
      <c r="N42" s="1">
        <f>L42*I42</f>
        <v>1.1904761904761904E-3</v>
      </c>
      <c r="O42" s="1">
        <f>L42*L42</f>
        <v>1.0644998740236831E-2</v>
      </c>
      <c r="P42" s="1" t="s">
        <v>59</v>
      </c>
      <c r="Q42" s="1">
        <v>2.6243803294846421E-2</v>
      </c>
      <c r="R42" s="1">
        <f>L42-($Q$43+$Q$42*I42)</f>
        <v>-0.14517328301490107</v>
      </c>
      <c r="S42" s="1">
        <f>R42*R42</f>
        <v>2.1075282101324564E-2</v>
      </c>
      <c r="T42" s="1">
        <f>I42*I42</f>
        <v>1.3313609467455623E-4</v>
      </c>
      <c r="U42" s="1" t="s">
        <v>61</v>
      </c>
      <c r="V42" s="1">
        <f>G52</f>
        <v>1.274161735700198E-3</v>
      </c>
    </row>
    <row r="43" spans="1:22" ht="15.6" x14ac:dyDescent="0.3">
      <c r="A43" s="30"/>
      <c r="B43" s="30"/>
      <c r="C43" s="30"/>
      <c r="D43" s="19">
        <v>2</v>
      </c>
      <c r="E43" s="25">
        <v>0.6</v>
      </c>
      <c r="F43" s="25">
        <v>1.9</v>
      </c>
      <c r="H43" s="22">
        <v>2</v>
      </c>
      <c r="I43" s="22">
        <f>(($C$9-B27)-($D$9-C27))/($B$9-$A$9)</f>
        <v>2.3076923076923078E-2</v>
      </c>
      <c r="J43" s="22">
        <f t="shared" si="11"/>
        <v>0.8</v>
      </c>
      <c r="K43" s="22">
        <f t="shared" si="11"/>
        <v>2.9445397209899586</v>
      </c>
      <c r="L43" s="22">
        <f>(2*0.78)/((N31*N31)-(M31*M31))</f>
        <v>0.19491228946973857</v>
      </c>
      <c r="M43" s="1">
        <f>L43*SQRT((2*(0.005*0.005)) /(0.78*0.78) + 4*((M31*O31)*(M31*O31) +(N31*P31)*(N31*P31))/((N31*N31-M31*M31)*(N31*N31-M31*M31)))</f>
        <v>1.8827588302791759E-3</v>
      </c>
      <c r="N43" s="1">
        <f t="shared" ref="N43:N46" si="12">L43*I43</f>
        <v>4.4979759108401208E-3</v>
      </c>
      <c r="O43" s="1">
        <f t="shared" ref="O43:O45" si="13">L43*L43</f>
        <v>3.7990800586335159E-2</v>
      </c>
      <c r="P43" s="1" t="s">
        <v>60</v>
      </c>
      <c r="Q43" s="1">
        <v>0.24804507307456369</v>
      </c>
      <c r="R43" s="1">
        <f t="shared" ref="R43:R46" si="14">L43-($Q$43+$Q$42*I43)</f>
        <v>-5.3738409834706208E-2</v>
      </c>
      <c r="S43" s="1">
        <f t="shared" ref="S43:S46" si="15">R43*R43</f>
        <v>2.8878166915628487E-3</v>
      </c>
      <c r="T43" s="1">
        <f t="shared" ref="T43:T46" si="16">I43*I43</f>
        <v>5.3254437869822494E-4</v>
      </c>
      <c r="U43" s="1"/>
      <c r="V43" s="1"/>
    </row>
    <row r="44" spans="1:22" ht="15.6" x14ac:dyDescent="0.3">
      <c r="A44" s="30"/>
      <c r="B44" s="30"/>
      <c r="C44" s="30"/>
      <c r="D44" s="19">
        <v>3</v>
      </c>
      <c r="E44" s="25">
        <v>0.6</v>
      </c>
      <c r="F44" s="25">
        <v>1.9</v>
      </c>
      <c r="H44" s="22">
        <v>3</v>
      </c>
      <c r="I44" s="22">
        <f>(($C$9-B32)-($D$9-C32))/($B$9-$A$9)</f>
        <v>3.3333333333333333E-2</v>
      </c>
      <c r="J44" s="22">
        <f t="shared" si="11"/>
        <v>0.7</v>
      </c>
      <c r="K44" s="22">
        <f t="shared" si="11"/>
        <v>2.5</v>
      </c>
      <c r="L44" s="22">
        <f t="shared" ref="L44:L46" si="17">(2*0.78)/((N32*N32)-(M32*M32))</f>
        <v>0.27083333333333337</v>
      </c>
      <c r="M44" s="1">
        <f>L44*SQRT((2*(0.005*0.005)) /(0.78*0.78) + 4*((M32*O32)*(M32*O32) +(N32*P32)*(N32*P32))/((N32*N32-M32*M32)*(N32*N32-M32*M32)))</f>
        <v>2.4552318791199569E-3</v>
      </c>
      <c r="N44" s="1">
        <f t="shared" si="12"/>
        <v>9.0277777777777787E-3</v>
      </c>
      <c r="O44" s="1">
        <f t="shared" si="13"/>
        <v>7.3350694444444461E-2</v>
      </c>
      <c r="P44" s="1"/>
      <c r="Q44" s="1"/>
      <c r="R44" s="1">
        <f t="shared" si="14"/>
        <v>2.1913466815608129E-2</v>
      </c>
      <c r="S44" s="1">
        <f t="shared" si="15"/>
        <v>4.8020002787875867E-4</v>
      </c>
      <c r="T44" s="1">
        <f t="shared" si="16"/>
        <v>1.1111111111111111E-3</v>
      </c>
      <c r="U44" s="1" t="s">
        <v>62</v>
      </c>
      <c r="V44" s="1">
        <f>SQRT(SUM(G58:G62)/(V42*(3)))</f>
        <v>0.25487945597976541</v>
      </c>
    </row>
    <row r="45" spans="1:22" ht="15.6" x14ac:dyDescent="0.3">
      <c r="A45" s="30"/>
      <c r="B45" s="30"/>
      <c r="C45" s="30"/>
      <c r="D45" s="19">
        <v>4</v>
      </c>
      <c r="E45" s="25">
        <v>0.6</v>
      </c>
      <c r="F45" s="19">
        <v>1.9</v>
      </c>
      <c r="H45" s="22">
        <v>4</v>
      </c>
      <c r="I45" s="22">
        <f>(($C$9-B37)-($D$9-C37))/($B$9-$A$9)</f>
        <v>4.6153846153846156E-2</v>
      </c>
      <c r="J45" s="22">
        <f t="shared" si="11"/>
        <v>0.6</v>
      </c>
      <c r="K45" s="22">
        <f t="shared" si="11"/>
        <v>2.12</v>
      </c>
      <c r="L45" s="22">
        <f t="shared" si="17"/>
        <v>0.37732198142414858</v>
      </c>
      <c r="M45" s="1">
        <f>L45*SQRT((2*(0.005*0.005)) /(0.78*0.78) + 4*((M33*O33)*(M33*O33) +(N33*P33)*(N33*P33))/((N33*N33-M33*M33)*(N33*N33-M33*M33)))</f>
        <v>3.4206016891764096E-3</v>
      </c>
      <c r="N45" s="1">
        <f t="shared" si="12"/>
        <v>1.7414860681114551E-2</v>
      </c>
      <c r="O45" s="1">
        <f t="shared" si="13"/>
        <v>0.14237187766584553</v>
      </c>
      <c r="P45" s="1"/>
      <c r="Q45" s="1"/>
      <c r="R45" s="1">
        <f t="shared" si="14"/>
        <v>0.12806565588982274</v>
      </c>
      <c r="S45" s="1">
        <f t="shared" si="15"/>
        <v>1.640081221849049E-2</v>
      </c>
      <c r="T45" s="1">
        <f t="shared" si="16"/>
        <v>2.1301775147928997E-3</v>
      </c>
      <c r="U45" s="1"/>
      <c r="V45" s="1"/>
    </row>
    <row r="46" spans="1:22" ht="15.6" x14ac:dyDescent="0.3">
      <c r="A46" s="30"/>
      <c r="B46" s="30"/>
      <c r="C46" s="30"/>
      <c r="D46" s="19">
        <v>5</v>
      </c>
      <c r="E46" s="25">
        <v>0.6</v>
      </c>
      <c r="F46" s="25">
        <v>1.9</v>
      </c>
      <c r="H46" s="22">
        <v>5</v>
      </c>
      <c r="I46" s="22">
        <f>(($C$9-B42)-($D$9-C42))/($B$9-$A$9)</f>
        <v>5.6410256410256411E-2</v>
      </c>
      <c r="J46" s="22">
        <f t="shared" si="11"/>
        <v>0.6</v>
      </c>
      <c r="K46" s="22">
        <f t="shared" si="11"/>
        <v>1.9</v>
      </c>
      <c r="L46" s="22">
        <f t="shared" si="17"/>
        <v>0.48000000000000004</v>
      </c>
      <c r="M46" s="1">
        <f>L46*SQRT((2*(0.005*0.005)) /(0.78*0.78) + 4*((M34*O34)*(M34*O34) +(N34*P34)*(N34*P34))/((N34*N34-M34*M34)*(N34*N34-M34*M34)))</f>
        <v>4.3514263457633696E-3</v>
      </c>
      <c r="N46" s="1">
        <f t="shared" si="12"/>
        <v>2.7076923076923078E-2</v>
      </c>
      <c r="O46" s="1">
        <f>L46*L46</f>
        <v>0.23040000000000005</v>
      </c>
      <c r="P46" s="1" t="s">
        <v>65</v>
      </c>
      <c r="Q46" s="1">
        <f>(1/5)*(SUM(L42:L46)-P48*SUM(I42:I46))</f>
        <v>0.26786435550841153</v>
      </c>
      <c r="R46" s="1">
        <f t="shared" si="14"/>
        <v>0.23047450725239371</v>
      </c>
      <c r="S46" s="1">
        <f t="shared" si="15"/>
        <v>5.3118498493233683E-2</v>
      </c>
      <c r="T46" s="1">
        <f t="shared" si="16"/>
        <v>3.1821170282708747E-3</v>
      </c>
      <c r="U46" s="1"/>
      <c r="V46" s="1"/>
    </row>
    <row r="47" spans="1:22" ht="15.6" x14ac:dyDescent="0.3">
      <c r="A47" s="50"/>
      <c r="B47" s="50"/>
      <c r="C47" s="50"/>
      <c r="D47" s="50"/>
      <c r="E47" s="50"/>
      <c r="F47" s="50"/>
      <c r="H47" s="22"/>
      <c r="I47" s="22"/>
      <c r="J47" s="22"/>
      <c r="K47" s="22"/>
      <c r="L47" s="22"/>
    </row>
    <row r="48" spans="1:22" x14ac:dyDescent="0.3">
      <c r="A48" s="50"/>
      <c r="B48" s="50"/>
      <c r="C48" s="50"/>
      <c r="D48" s="50"/>
      <c r="E48" s="50"/>
      <c r="F48" s="50"/>
      <c r="I48">
        <v>7.6923076923076927E-3</v>
      </c>
      <c r="J48">
        <v>7.5698757763975139E-2</v>
      </c>
      <c r="O48" s="1" t="s">
        <v>63</v>
      </c>
      <c r="P48" s="1">
        <f>2*V44</f>
        <v>0.50975891195953082</v>
      </c>
    </row>
    <row r="49" spans="1:19" x14ac:dyDescent="0.3">
      <c r="I49">
        <v>2.1794871794871794E-2</v>
      </c>
      <c r="J49">
        <v>0.16723842195540314</v>
      </c>
      <c r="O49" s="1" t="s">
        <v>64</v>
      </c>
      <c r="P49" s="1">
        <f>Q42*100</f>
        <v>2.6243803294846422</v>
      </c>
    </row>
    <row r="50" spans="1:19" x14ac:dyDescent="0.3">
      <c r="I50">
        <v>3.2051282051282048E-2</v>
      </c>
      <c r="J50">
        <v>0.25536930330015722</v>
      </c>
      <c r="O50" s="1" t="s">
        <v>69</v>
      </c>
      <c r="P50" s="1">
        <f>P49/P48*100</f>
        <v>514.82774855204264</v>
      </c>
    </row>
    <row r="51" spans="1:19" x14ac:dyDescent="0.3">
      <c r="I51">
        <v>4.3589743589743588E-2</v>
      </c>
      <c r="J51">
        <v>0.32826747720364741</v>
      </c>
      <c r="R51" t="s">
        <v>70</v>
      </c>
      <c r="S51" t="s">
        <v>71</v>
      </c>
    </row>
    <row r="52" spans="1:19" x14ac:dyDescent="0.3">
      <c r="A52" t="s">
        <v>88</v>
      </c>
      <c r="B52">
        <f>SUM(N42:N46)</f>
        <v>5.9208013637131726E-2</v>
      </c>
      <c r="C52" t="s">
        <v>93</v>
      </c>
      <c r="D52">
        <f>B52-(B53*B54)</f>
        <v>1.0569497333428504E-2</v>
      </c>
      <c r="F52" t="s">
        <v>104</v>
      </c>
      <c r="G52">
        <f>D53</f>
        <v>1.274161735700198E-3</v>
      </c>
      <c r="I52">
        <v>5.5128205128205127E-2</v>
      </c>
      <c r="J52">
        <v>0.41785714285714293</v>
      </c>
      <c r="R52">
        <f>9.81 - 8.33</f>
        <v>1.4800000000000004</v>
      </c>
      <c r="S52">
        <f>R52/9.81*100</f>
        <v>15.086646279306834</v>
      </c>
    </row>
    <row r="53" spans="1:19" x14ac:dyDescent="0.3">
      <c r="A53" t="s">
        <v>89</v>
      </c>
      <c r="B53">
        <f>(SUM(L42:L46))/5</f>
        <v>0.28524844148036477</v>
      </c>
      <c r="C53" t="s">
        <v>94</v>
      </c>
      <c r="D53">
        <f>B55-B56</f>
        <v>1.274161735700198E-3</v>
      </c>
      <c r="F53" t="s">
        <v>99</v>
      </c>
      <c r="G53">
        <f>L42-($D$58+$D$54*I42)</f>
        <v>5.1011609116099893E-3</v>
      </c>
      <c r="I53">
        <f>D53</f>
        <v>1.274161735700198E-3</v>
      </c>
      <c r="O53" t="s">
        <v>105</v>
      </c>
      <c r="Q53">
        <f>2*V44</f>
        <v>0.50975891195953082</v>
      </c>
    </row>
    <row r="54" spans="1:19" x14ac:dyDescent="0.3">
      <c r="A54" t="s">
        <v>90</v>
      </c>
      <c r="B54">
        <f>SUM(I42:I46)</f>
        <v>0.17051282051282052</v>
      </c>
      <c r="C54" t="s">
        <v>95</v>
      </c>
      <c r="D54">
        <f>D52/D53</f>
        <v>8.2952556471335122</v>
      </c>
      <c r="F54" t="s">
        <v>102</v>
      </c>
      <c r="G54">
        <f t="shared" ref="G54:G57" si="18">L43-($D$58+$D$54*I43)</f>
        <v>1.1243589705894896E-3</v>
      </c>
      <c r="O54" t="s">
        <v>106</v>
      </c>
      <c r="Q54">
        <f>Q53/D54*100</f>
        <v>6.14518628049374</v>
      </c>
    </row>
    <row r="55" spans="1:19" x14ac:dyDescent="0.3">
      <c r="A55" t="s">
        <v>91</v>
      </c>
      <c r="B55">
        <f>SUM(T42:T46)</f>
        <v>7.0890861275476665E-3</v>
      </c>
      <c r="F55" t="s">
        <v>103</v>
      </c>
      <c r="G55">
        <f t="shared" si="18"/>
        <v>-8.0341422646209582E-3</v>
      </c>
      <c r="O55" t="s">
        <v>107</v>
      </c>
      <c r="Q55">
        <v>9.8190799999999996</v>
      </c>
    </row>
    <row r="56" spans="1:19" x14ac:dyDescent="0.3">
      <c r="A56" t="s">
        <v>92</v>
      </c>
      <c r="B56">
        <f>((B54*B54))/5</f>
        <v>5.8149243918474685E-3</v>
      </c>
      <c r="F56" t="s">
        <v>100</v>
      </c>
      <c r="G56">
        <f t="shared" si="18"/>
        <v>-7.8949255473123592E-3</v>
      </c>
      <c r="O56" t="s">
        <v>108</v>
      </c>
      <c r="Q56">
        <f>ABS(D54-Q55)</f>
        <v>1.5238243528664874</v>
      </c>
    </row>
    <row r="57" spans="1:19" x14ac:dyDescent="0.3">
      <c r="F57" t="s">
        <v>101</v>
      </c>
      <c r="G57">
        <f t="shared" si="18"/>
        <v>9.70354792973388E-3</v>
      </c>
    </row>
    <row r="58" spans="1:19" x14ac:dyDescent="0.3">
      <c r="A58" t="s">
        <v>88</v>
      </c>
      <c r="B58">
        <f>SUM(L42:L46)</f>
        <v>1.4262422074018237</v>
      </c>
      <c r="C58" t="s">
        <v>96</v>
      </c>
      <c r="D58">
        <f>(B58-B59) /5</f>
        <v>2.3589540268372567E-3</v>
      </c>
      <c r="F58" t="s">
        <v>98</v>
      </c>
      <c r="G58">
        <f>G53*G53</f>
        <v>2.6021842646137658E-5</v>
      </c>
    </row>
    <row r="59" spans="1:19" x14ac:dyDescent="0.3">
      <c r="A59" t="s">
        <v>89</v>
      </c>
      <c r="B59">
        <f>B54*D54</f>
        <v>1.4144474372676374</v>
      </c>
      <c r="F59" t="s">
        <v>98</v>
      </c>
      <c r="G59">
        <f t="shared" ref="G59:G62" si="19">G54*G54</f>
        <v>1.2641830947450567E-6</v>
      </c>
    </row>
    <row r="60" spans="1:19" x14ac:dyDescent="0.3">
      <c r="F60" t="s">
        <v>98</v>
      </c>
      <c r="G60">
        <f t="shared" si="19"/>
        <v>6.4547441928168773E-5</v>
      </c>
    </row>
    <row r="61" spans="1:19" x14ac:dyDescent="0.3">
      <c r="F61" t="s">
        <v>98</v>
      </c>
      <c r="G61">
        <f t="shared" si="19"/>
        <v>6.2329849397605358E-5</v>
      </c>
    </row>
    <row r="62" spans="1:19" x14ac:dyDescent="0.3">
      <c r="F62" t="s">
        <v>98</v>
      </c>
      <c r="G62">
        <f t="shared" si="19"/>
        <v>9.4158842424642674E-5</v>
      </c>
    </row>
  </sheetData>
  <mergeCells count="35">
    <mergeCell ref="A1:E1"/>
    <mergeCell ref="A20:F20"/>
    <mergeCell ref="H1:I1"/>
    <mergeCell ref="A47:F48"/>
    <mergeCell ref="B27:B31"/>
    <mergeCell ref="C27:C31"/>
    <mergeCell ref="B32:B36"/>
    <mergeCell ref="C32:C36"/>
    <mergeCell ref="B37:B41"/>
    <mergeCell ref="C37:C41"/>
    <mergeCell ref="B42:B46"/>
    <mergeCell ref="C42:C46"/>
    <mergeCell ref="A27:A31"/>
    <mergeCell ref="A42:A46"/>
    <mergeCell ref="B22:B26"/>
    <mergeCell ref="I30:I34"/>
    <mergeCell ref="A37:A41"/>
    <mergeCell ref="A12:A13"/>
    <mergeCell ref="K30:K34"/>
    <mergeCell ref="A11:G11"/>
    <mergeCell ref="A32:A36"/>
    <mergeCell ref="H28:K28"/>
    <mergeCell ref="J30:J34"/>
    <mergeCell ref="B12:E12"/>
    <mergeCell ref="A7:D7"/>
    <mergeCell ref="K22:K26"/>
    <mergeCell ref="H20:M20"/>
    <mergeCell ref="M22:M26"/>
    <mergeCell ref="I19:K19"/>
    <mergeCell ref="I18:K18"/>
    <mergeCell ref="I17:K17"/>
    <mergeCell ref="I16:K16"/>
    <mergeCell ref="F12:G12"/>
    <mergeCell ref="A22:A26"/>
    <mergeCell ref="C22:C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Lord Kelvin</cp:lastModifiedBy>
  <dcterms:created xsi:type="dcterms:W3CDTF">2020-10-09T09:28:42Z</dcterms:created>
  <dcterms:modified xsi:type="dcterms:W3CDTF">2020-11-01T16:44:34Z</dcterms:modified>
</cp:coreProperties>
</file>