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rgre\Desktop\"/>
    </mc:Choice>
  </mc:AlternateContent>
  <xr:revisionPtr revIDLastSave="0" documentId="13_ncr:1_{24110D3F-BAEE-45BD-9A26-E548B3B644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j+lH0VYxS1I7SUa6Xn6TeRs3izw=="/>
    </ext>
  </extLst>
</workbook>
</file>

<file path=xl/calcChain.xml><?xml version="1.0" encoding="utf-8"?>
<calcChain xmlns="http://schemas.openxmlformats.org/spreadsheetml/2006/main">
  <c r="P38" i="1" l="1"/>
  <c r="V24" i="1" l="1"/>
  <c r="I52" i="1" l="1"/>
  <c r="I51" i="1"/>
  <c r="I49" i="1"/>
  <c r="I48" i="1"/>
  <c r="I46" i="1"/>
  <c r="I45" i="1"/>
  <c r="I43" i="1"/>
  <c r="I42" i="1"/>
  <c r="I40" i="1"/>
  <c r="I39" i="1"/>
  <c r="I37" i="1"/>
  <c r="I36" i="1"/>
  <c r="E52" i="1"/>
  <c r="D52" i="1"/>
  <c r="G52" i="1"/>
  <c r="F52" i="1"/>
  <c r="G49" i="1"/>
  <c r="F49" i="1"/>
  <c r="E49" i="1"/>
  <c r="D49" i="1"/>
  <c r="G45" i="1"/>
  <c r="G51" i="1"/>
  <c r="F51" i="1"/>
  <c r="E51" i="1"/>
  <c r="D51" i="1"/>
  <c r="G48" i="1"/>
  <c r="F48" i="1"/>
  <c r="E48" i="1"/>
  <c r="D48" i="1"/>
  <c r="M3" i="1"/>
  <c r="T29" i="1"/>
  <c r="U29" i="1" s="1"/>
  <c r="U28" i="1"/>
  <c r="T28" i="1"/>
  <c r="U27" i="1"/>
  <c r="T27" i="1"/>
  <c r="T26" i="1"/>
  <c r="U26" i="1" s="1"/>
  <c r="U25" i="1"/>
  <c r="T25" i="1"/>
  <c r="T24" i="1"/>
  <c r="U24" i="1" s="1"/>
  <c r="P23" i="1"/>
  <c r="O23" i="1"/>
  <c r="N23" i="1"/>
  <c r="M23" i="1"/>
  <c r="L23" i="1"/>
  <c r="K23" i="1"/>
  <c r="H18" i="1"/>
  <c r="R12" i="1" s="1"/>
  <c r="R13" i="1" s="1"/>
  <c r="G18" i="1"/>
  <c r="Q12" i="1" s="1"/>
  <c r="F18" i="1"/>
  <c r="P12" i="1" s="1"/>
  <c r="P13" i="1" s="1"/>
  <c r="E18" i="1"/>
  <c r="O12" i="1" s="1"/>
  <c r="O13" i="1" s="1"/>
  <c r="G42" i="1" s="1"/>
  <c r="D18" i="1"/>
  <c r="N12" i="1" s="1"/>
  <c r="N13" i="1" s="1"/>
  <c r="G39" i="1" s="1"/>
  <c r="C18" i="1"/>
  <c r="M12" i="1" s="1"/>
  <c r="M14" i="1" s="1"/>
  <c r="G37" i="1" s="1"/>
  <c r="B18" i="1"/>
  <c r="B17" i="1"/>
  <c r="B16" i="1"/>
  <c r="B15" i="1"/>
  <c r="H14" i="1"/>
  <c r="R9" i="1" s="1"/>
  <c r="R10" i="1" s="1"/>
  <c r="G14" i="1"/>
  <c r="Q9" i="1" s="1"/>
  <c r="Q10" i="1" s="1"/>
  <c r="F14" i="1"/>
  <c r="P9" i="1" s="1"/>
  <c r="P10" i="1" s="1"/>
  <c r="F45" i="1" s="1"/>
  <c r="E14" i="1"/>
  <c r="O9" i="1" s="1"/>
  <c r="O10" i="1" s="1"/>
  <c r="F42" i="1" s="1"/>
  <c r="D14" i="1"/>
  <c r="N9" i="1" s="1"/>
  <c r="N10" i="1" s="1"/>
  <c r="F39" i="1" s="1"/>
  <c r="C14" i="1"/>
  <c r="M9" i="1" s="1"/>
  <c r="M10" i="1" s="1"/>
  <c r="F36" i="1" s="1"/>
  <c r="B14" i="1"/>
  <c r="B13" i="1"/>
  <c r="B12" i="1"/>
  <c r="B11" i="1"/>
  <c r="H10" i="1"/>
  <c r="R6" i="1" s="1"/>
  <c r="G10" i="1"/>
  <c r="Q6" i="1" s="1"/>
  <c r="Q7" i="1" s="1"/>
  <c r="F10" i="1"/>
  <c r="P6" i="1" s="1"/>
  <c r="P7" i="1" s="1"/>
  <c r="E45" i="1" s="1"/>
  <c r="E10" i="1"/>
  <c r="O6" i="1" s="1"/>
  <c r="D10" i="1"/>
  <c r="N6" i="1" s="1"/>
  <c r="C10" i="1"/>
  <c r="M6" i="1" s="1"/>
  <c r="M7" i="1" s="1"/>
  <c r="E36" i="1" s="1"/>
  <c r="B10" i="1"/>
  <c r="B9" i="1"/>
  <c r="J8" i="1"/>
  <c r="B8" i="1"/>
  <c r="B7" i="1"/>
  <c r="J6" i="1"/>
  <c r="H6" i="1"/>
  <c r="R3" i="1" s="1"/>
  <c r="R4" i="1" s="1"/>
  <c r="G6" i="1"/>
  <c r="Q3" i="1" s="1"/>
  <c r="F6" i="1"/>
  <c r="P3" i="1" s="1"/>
  <c r="E6" i="1"/>
  <c r="O3" i="1" s="1"/>
  <c r="O5" i="1" s="1"/>
  <c r="D6" i="1"/>
  <c r="N3" i="1" s="1"/>
  <c r="N4" i="1" s="1"/>
  <c r="C6" i="1"/>
  <c r="J20" i="1" s="1"/>
  <c r="R7" i="1" l="1"/>
  <c r="R8" i="1"/>
  <c r="Q14" i="1"/>
  <c r="Q13" i="1"/>
  <c r="P8" i="1"/>
  <c r="E46" i="1" s="1"/>
  <c r="O7" i="1"/>
  <c r="E42" i="1" s="1"/>
  <c r="O8" i="1"/>
  <c r="E43" i="1" s="1"/>
  <c r="N7" i="1"/>
  <c r="E39" i="1" s="1"/>
  <c r="N8" i="1"/>
  <c r="E40" i="1" s="1"/>
  <c r="M13" i="1"/>
  <c r="G36" i="1" s="1"/>
  <c r="D39" i="1"/>
  <c r="L27" i="1"/>
  <c r="D43" i="1"/>
  <c r="R14" i="1"/>
  <c r="P27" i="1"/>
  <c r="P5" i="1"/>
  <c r="P4" i="1"/>
  <c r="Q5" i="1"/>
  <c r="Q4" i="1"/>
  <c r="U30" i="1"/>
  <c r="R5" i="1"/>
  <c r="P14" i="1"/>
  <c r="G46" i="1" s="1"/>
  <c r="J18" i="1"/>
  <c r="J19" i="1"/>
  <c r="O4" i="1"/>
  <c r="M8" i="1"/>
  <c r="E37" i="1" s="1"/>
  <c r="Q8" i="1"/>
  <c r="N11" i="1"/>
  <c r="F40" i="1" s="1"/>
  <c r="R11" i="1"/>
  <c r="O14" i="1"/>
  <c r="G43" i="1" s="1"/>
  <c r="N5" i="1"/>
  <c r="O11" i="1"/>
  <c r="F43" i="1" s="1"/>
  <c r="P11" i="1"/>
  <c r="F46" i="1" s="1"/>
  <c r="M11" i="1"/>
  <c r="F37" i="1" s="1"/>
  <c r="Q11" i="1"/>
  <c r="N14" i="1"/>
  <c r="G40" i="1" s="1"/>
  <c r="M4" i="1" l="1"/>
  <c r="M5" i="1"/>
  <c r="P26" i="1"/>
  <c r="P24" i="1" s="1"/>
  <c r="O27" i="1"/>
  <c r="D40" i="1"/>
  <c r="L26" i="1"/>
  <c r="L24" i="1" s="1"/>
  <c r="O26" i="1"/>
  <c r="M26" i="1"/>
  <c r="K18" i="1"/>
  <c r="L18" i="1" s="1"/>
  <c r="D45" i="1"/>
  <c r="N27" i="1"/>
  <c r="M27" i="1"/>
  <c r="D42" i="1"/>
  <c r="T34" i="1"/>
  <c r="N26" i="1"/>
  <c r="D46" i="1"/>
  <c r="O24" i="1" l="1"/>
  <c r="M24" i="1"/>
  <c r="V25" i="1"/>
  <c r="K26" i="1"/>
  <c r="D37" i="1"/>
  <c r="L25" i="1"/>
  <c r="L29" i="1" s="1"/>
  <c r="V29" i="1"/>
  <c r="P25" i="1"/>
  <c r="P30" i="1" s="1"/>
  <c r="D36" i="1"/>
  <c r="K27" i="1"/>
  <c r="N24" i="1"/>
  <c r="J2" i="1"/>
  <c r="O18" i="1"/>
  <c r="O20" i="1" s="1"/>
  <c r="O25" i="1" l="1"/>
  <c r="O29" i="1" s="1"/>
  <c r="V28" i="1"/>
  <c r="L30" i="1"/>
  <c r="K24" i="1"/>
  <c r="V27" i="1"/>
  <c r="V26" i="1"/>
  <c r="P29" i="1"/>
  <c r="M25" i="1"/>
  <c r="M30" i="1" s="1"/>
  <c r="N25" i="1"/>
  <c r="N29" i="1" s="1"/>
  <c r="O30" i="1" l="1"/>
  <c r="M29" i="1"/>
  <c r="K25" i="1"/>
  <c r="K29" i="1" s="1"/>
  <c r="K30" i="1"/>
  <c r="N30" i="1"/>
  <c r="V30" i="1"/>
  <c r="T32" i="1" l="1"/>
  <c r="O38" i="1" l="1"/>
  <c r="T33" i="1"/>
  <c r="U35" i="1" s="1"/>
  <c r="O37" i="1" l="1"/>
  <c r="W29" i="1"/>
  <c r="W28" i="1"/>
  <c r="W25" i="1"/>
  <c r="W24" i="1"/>
  <c r="W27" i="1"/>
  <c r="W26" i="1"/>
  <c r="U36" i="1"/>
  <c r="U39" i="1" l="1"/>
  <c r="P37" i="1" s="1"/>
  <c r="U40" i="1"/>
</calcChain>
</file>

<file path=xl/sharedStrings.xml><?xml version="1.0" encoding="utf-8"?>
<sst xmlns="http://schemas.openxmlformats.org/spreadsheetml/2006/main" count="104" uniqueCount="53">
  <si>
    <t>Масса груза, гр</t>
  </si>
  <si>
    <t>Положение утяжелителей</t>
  </si>
  <si>
    <t>dt1</t>
  </si>
  <si>
    <t>1 риска</t>
  </si>
  <si>
    <t>2 риска</t>
  </si>
  <si>
    <t>3 риска</t>
  </si>
  <si>
    <t>4 риска</t>
  </si>
  <si>
    <t>5 риска</t>
  </si>
  <si>
    <t>6 риска</t>
  </si>
  <si>
    <t xml:space="preserve">	m1</t>
  </si>
  <si>
    <t>t1</t>
  </si>
  <si>
    <t>h</t>
  </si>
  <si>
    <t>m1</t>
  </si>
  <si>
    <t>a</t>
  </si>
  <si>
    <t>t2</t>
  </si>
  <si>
    <t>ε</t>
  </si>
  <si>
    <t>t3</t>
  </si>
  <si>
    <t>d</t>
  </si>
  <si>
    <t>M</t>
  </si>
  <si>
    <t>tср</t>
  </si>
  <si>
    <t>m2</t>
  </si>
  <si>
    <t>m</t>
  </si>
  <si>
    <t>g</t>
  </si>
  <si>
    <t>m3</t>
  </si>
  <si>
    <t>m4</t>
  </si>
  <si>
    <t>(ti-tср)^2</t>
  </si>
  <si>
    <t>СКО</t>
  </si>
  <si>
    <t>dt_cp</t>
  </si>
  <si>
    <t>dh</t>
  </si>
  <si>
    <t>da</t>
  </si>
  <si>
    <t>dd</t>
  </si>
  <si>
    <t>dε</t>
  </si>
  <si>
    <t>М = Мтр + Iε</t>
  </si>
  <si>
    <t>Номер риски</t>
  </si>
  <si>
    <t>R</t>
  </si>
  <si>
    <t>R^2</t>
  </si>
  <si>
    <t>I</t>
  </si>
  <si>
    <t>d_i^2</t>
  </si>
  <si>
    <t>Mтр</t>
  </si>
  <si>
    <t>Mcр</t>
  </si>
  <si>
    <t>εcp</t>
  </si>
  <si>
    <t>Средние:</t>
  </si>
  <si>
    <t>4*mут</t>
  </si>
  <si>
    <t>I0</t>
  </si>
  <si>
    <t>D</t>
  </si>
  <si>
    <t>В вывод:</t>
  </si>
  <si>
    <t>Погрешность:</t>
  </si>
  <si>
    <t>i_0</t>
  </si>
  <si>
    <t>mут</t>
  </si>
  <si>
    <t>S_I_0</t>
  </si>
  <si>
    <t>S_4mут</t>
  </si>
  <si>
    <t>М</t>
  </si>
  <si>
    <t>ср.знач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</si>
</sst>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i/>
      <sz val="11"/>
      <color rgb="FF7F7F7F"/>
      <name val="Calibri"/>
    </font>
    <font>
      <sz val="11"/>
      <color theme="0"/>
      <name val="Calibri"/>
    </font>
    <font>
      <sz val="11"/>
      <color theme="1"/>
      <name val="Calibri"/>
    </font>
    <font>
      <sz val="11"/>
      <color rgb="FFA5A5A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4" xfId="0" applyFont="1" applyFill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0" xfId="0" applyFont="1" applyBorder="1" applyAlignment="1">
      <alignment horizontal="right"/>
    </xf>
    <xf numFmtId="0" fontId="3" fillId="0" borderId="7" xfId="0" applyFont="1" applyBorder="1"/>
    <xf numFmtId="0" fontId="1" fillId="0" borderId="9" xfId="0" applyFont="1" applyBorder="1"/>
    <xf numFmtId="0" fontId="1" fillId="2" borderId="9" xfId="0" applyFont="1" applyFill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/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2" fontId="1" fillId="0" borderId="0" xfId="0" applyNumberFormat="1" applyFont="1"/>
    <xf numFmtId="0" fontId="5" fillId="0" borderId="0" xfId="0" applyFont="1"/>
    <xf numFmtId="0" fontId="6" fillId="0" borderId="0" xfId="0" applyFont="1"/>
    <xf numFmtId="0" fontId="1" fillId="0" borderId="9" xfId="0" applyNumberFormat="1" applyFont="1" applyBorder="1"/>
    <xf numFmtId="0" fontId="0" fillId="0" borderId="19" xfId="0" applyFont="1" applyBorder="1" applyAlignment="1"/>
    <xf numFmtId="0" fontId="1" fillId="2" borderId="19" xfId="0" applyFont="1" applyFill="1" applyBorder="1"/>
    <xf numFmtId="0" fontId="1" fillId="2" borderId="19" xfId="0" applyFont="1" applyFill="1" applyBorder="1" applyAlignment="1">
      <alignment horizontal="center"/>
    </xf>
    <xf numFmtId="0" fontId="1" fillId="0" borderId="19" xfId="0" applyFont="1" applyBorder="1"/>
    <xf numFmtId="0" fontId="0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/>
    <xf numFmtId="0" fontId="1" fillId="2" borderId="15" xfId="0" applyFont="1" applyFill="1" applyBorder="1" applyAlignment="1">
      <alignment horizontal="center"/>
    </xf>
    <xf numFmtId="0" fontId="2" fillId="0" borderId="11" xfId="0" applyFont="1" applyBorder="1"/>
    <xf numFmtId="0" fontId="1" fillId="0" borderId="16" xfId="0" applyFont="1" applyBorder="1"/>
    <xf numFmtId="0" fontId="1" fillId="2" borderId="17" xfId="0" applyFont="1" applyFill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1" xfId="0" applyFont="1" applyBorder="1" applyAlignment="1">
      <alignment horizontal="center"/>
    </xf>
    <xf numFmtId="0" fontId="2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4" xfId="0" applyFont="1" applyBorder="1"/>
    <xf numFmtId="0" fontId="1" fillId="2" borderId="19" xfId="0" applyFont="1" applyFill="1" applyBorder="1" applyAlignment="1">
      <alignment horizontal="center"/>
    </xf>
    <xf numFmtId="0" fontId="2" fillId="0" borderId="19" xfId="0" applyFont="1" applyBorder="1"/>
    <xf numFmtId="0" fontId="4" fillId="3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ru-RU" sz="1400" b="0" i="0">
                <a:solidFill>
                  <a:srgbClr val="757575"/>
                </a:solidFill>
                <a:latin typeface="+mn-lt"/>
              </a:rPr>
              <a:t>Зависимость </a:t>
            </a:r>
            <a:r>
              <a:rPr lang="en-US" sz="1400" b="0" i="0">
                <a:solidFill>
                  <a:srgbClr val="757575"/>
                </a:solidFill>
                <a:latin typeface="+mn-lt"/>
              </a:rPr>
              <a:t>M(</a:t>
            </a:r>
            <a:r>
              <a:rPr lang="el-GR" sz="1400" b="0" i="0">
                <a:solidFill>
                  <a:srgbClr val="757575"/>
                </a:solidFill>
                <a:latin typeface="+mn-lt"/>
              </a:rPr>
              <a:t>ε) 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1313995152016"/>
          <c:y val="0.24288604785707435"/>
          <c:w val="0.87083438742547858"/>
          <c:h val="0.63794152497888479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Лист1!$D$36:$G$36</c:f>
              <c:numCache>
                <c:formatCode>General</c:formatCode>
                <c:ptCount val="4"/>
                <c:pt idx="0">
                  <c:v>2.5984207541062472</c:v>
                </c:pt>
                <c:pt idx="1">
                  <c:v>5.7746384113914742</c:v>
                </c:pt>
                <c:pt idx="2">
                  <c:v>8.3497345977217172</c:v>
                </c:pt>
                <c:pt idx="3">
                  <c:v>11.847449977433435</c:v>
                </c:pt>
              </c:numCache>
            </c:numRef>
          </c:xVal>
          <c:yVal>
            <c:numRef>
              <c:f>Лист1!$D$37:$G$37</c:f>
              <c:numCache>
                <c:formatCode>General</c:formatCode>
                <c:ptCount val="4"/>
                <c:pt idx="0">
                  <c:v>5.9931961537427775E-2</c:v>
                </c:pt>
                <c:pt idx="1">
                  <c:v>0.10849583540854209</c:v>
                </c:pt>
                <c:pt idx="2">
                  <c:v>0.15654523409124829</c:v>
                </c:pt>
                <c:pt idx="3">
                  <c:v>0.20354281661771625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44-476A-B9AA-F63728742E88}"/>
            </c:ext>
          </c:extLst>
        </c:ser>
        <c:ser>
          <c:idx val="1"/>
          <c:order val="1"/>
          <c:tx>
            <c:v>ряд 2</c:v>
          </c:tx>
          <c:spPr>
            <a:ln w="19050">
              <a:noFill/>
            </a:ln>
          </c:spPr>
          <c:xVal>
            <c:numRef>
              <c:f>Лист1!$D$39:$G$39</c:f>
              <c:numCache>
                <c:formatCode>General</c:formatCode>
                <c:ptCount val="4"/>
                <c:pt idx="0">
                  <c:v>1.92263934069218</c:v>
                </c:pt>
                <c:pt idx="1">
                  <c:v>4.050263513037204</c:v>
                </c:pt>
                <c:pt idx="2">
                  <c:v>6.5006584238317844</c:v>
                </c:pt>
                <c:pt idx="3">
                  <c:v>8.2273958176621012</c:v>
                </c:pt>
              </c:numCache>
            </c:numRef>
          </c:xVal>
          <c:yVal>
            <c:numRef>
              <c:f>Лист1!$D$40:$G$40</c:f>
              <c:numCache>
                <c:formatCode>General</c:formatCode>
                <c:ptCount val="4"/>
                <c:pt idx="0">
                  <c:v>6.0027410931602618E-2</c:v>
                </c:pt>
                <c:pt idx="1">
                  <c:v>0.1089400740429808</c:v>
                </c:pt>
                <c:pt idx="2">
                  <c:v>0.15723679412751165</c:v>
                </c:pt>
                <c:pt idx="3">
                  <c:v>0.20531802963674742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44-476A-B9AA-F63728742E88}"/>
            </c:ext>
          </c:extLst>
        </c:ser>
        <c:ser>
          <c:idx val="2"/>
          <c:order val="2"/>
          <c:tx>
            <c:v>ряд 3</c:v>
          </c:tx>
          <c:spPr>
            <a:ln w="19050">
              <a:noFill/>
            </a:ln>
          </c:spPr>
          <c:xVal>
            <c:numRef>
              <c:f>Лист1!$D$42:$G$42</c:f>
              <c:numCache>
                <c:formatCode>General</c:formatCode>
                <c:ptCount val="4"/>
                <c:pt idx="0">
                  <c:v>1.3931480797991243</c:v>
                </c:pt>
                <c:pt idx="1">
                  <c:v>3.0282947275826579</c:v>
                </c:pt>
                <c:pt idx="2">
                  <c:v>4.42234255907697</c:v>
                </c:pt>
                <c:pt idx="3">
                  <c:v>5.9196027739822368</c:v>
                </c:pt>
              </c:numCache>
            </c:numRef>
          </c:xVal>
          <c:yVal>
            <c:numRef>
              <c:f>Лист1!$D$43:$G$43</c:f>
              <c:numCache>
                <c:formatCode>General</c:formatCode>
                <c:ptCount val="4"/>
                <c:pt idx="0">
                  <c:v>6.0102197865764935E-2</c:v>
                </c:pt>
                <c:pt idx="1">
                  <c:v>0.10920335670739596</c:v>
                </c:pt>
                <c:pt idx="2">
                  <c:v>0.15801409049587753</c:v>
                </c:pt>
                <c:pt idx="3">
                  <c:v>0.20644973211288628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44-476A-B9AA-F63728742E88}"/>
            </c:ext>
          </c:extLst>
        </c:ser>
        <c:ser>
          <c:idx val="3"/>
          <c:order val="3"/>
          <c:tx>
            <c:v>ряд 4</c:v>
          </c:tx>
          <c:spPr>
            <a:ln w="19050">
              <a:noFill/>
            </a:ln>
          </c:spPr>
          <c:xVal>
            <c:numRef>
              <c:f>Лист1!$D$45:$G$45</c:f>
              <c:numCache>
                <c:formatCode>General</c:formatCode>
                <c:ptCount val="4"/>
                <c:pt idx="0">
                  <c:v>1.1411899910790642</c:v>
                </c:pt>
                <c:pt idx="1">
                  <c:v>2.2685099065827621</c:v>
                </c:pt>
                <c:pt idx="2">
                  <c:v>3.3280465816643074</c:v>
                </c:pt>
                <c:pt idx="3">
                  <c:v>2.7092152796645532</c:v>
                </c:pt>
              </c:numCache>
            </c:numRef>
          </c:xVal>
          <c:yVal>
            <c:numRef>
              <c:f>Лист1!$D$46:$G$46</c:f>
              <c:numCache>
                <c:formatCode>General</c:formatCode>
                <c:ptCount val="4"/>
                <c:pt idx="0">
                  <c:v>6.0137785182090023E-2</c:v>
                </c:pt>
                <c:pt idx="1">
                  <c:v>0.1093990947523364</c:v>
                </c:pt>
                <c:pt idx="2">
                  <c:v>0.15842336047431782</c:v>
                </c:pt>
                <c:pt idx="3">
                  <c:v>0.20727088881261257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44-476A-B9AA-F63728742E88}"/>
            </c:ext>
          </c:extLst>
        </c:ser>
        <c:ser>
          <c:idx val="4"/>
          <c:order val="4"/>
          <c:tx>
            <c:v>ряд 5</c:v>
          </c:tx>
          <c:spPr>
            <a:ln w="19050">
              <a:noFill/>
            </a:ln>
          </c:spPr>
          <c:xVal>
            <c:numRef>
              <c:f>Лист1!$D$48:$G$48</c:f>
              <c:numCache>
                <c:formatCode>General</c:formatCode>
                <c:ptCount val="4"/>
                <c:pt idx="0">
                  <c:v>0.91117496213851079</c:v>
                </c:pt>
                <c:pt idx="1">
                  <c:v>1.7545655990093219</c:v>
                </c:pt>
                <c:pt idx="2">
                  <c:v>2.6455813552695977</c:v>
                </c:pt>
                <c:pt idx="3">
                  <c:v>3.3176949655953702</c:v>
                </c:pt>
              </c:numCache>
            </c:numRef>
          </c:xVal>
          <c:yVal>
            <c:numRef>
              <c:f>Лист1!$D$49:$G$49</c:f>
              <c:numCache>
                <c:formatCode>General</c:formatCode>
                <c:ptCount val="4"/>
                <c:pt idx="0">
                  <c:v>6.0170273194822675E-2</c:v>
                </c:pt>
                <c:pt idx="1">
                  <c:v>0.10953149862668642</c:v>
                </c:pt>
                <c:pt idx="2">
                  <c:v>0.1586786045163851</c:v>
                </c:pt>
                <c:pt idx="3">
                  <c:v>0.20772566346968643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44-476A-B9AA-F63728742E88}"/>
            </c:ext>
          </c:extLst>
        </c:ser>
        <c:ser>
          <c:idx val="5"/>
          <c:order val="5"/>
          <c:tx>
            <c:v>ряд 6</c:v>
          </c:tx>
          <c:spPr>
            <a:ln w="19050">
              <a:noFill/>
            </a:ln>
          </c:spPr>
          <c:xVal>
            <c:numRef>
              <c:f>Лист1!$D$51:$G$51</c:f>
              <c:numCache>
                <c:formatCode>General</c:formatCode>
                <c:ptCount val="4"/>
                <c:pt idx="0">
                  <c:v>0.68161098756911942</c:v>
                </c:pt>
                <c:pt idx="1">
                  <c:v>1.3573218351081697</c:v>
                </c:pt>
                <c:pt idx="2">
                  <c:v>2.0418080618749515</c:v>
                </c:pt>
                <c:pt idx="3">
                  <c:v>2.7092152796645532</c:v>
                </c:pt>
              </c:numCache>
            </c:numRef>
          </c:xVal>
          <c:yVal>
            <c:numRef>
              <c:f>Лист1!$D$52:$G$52</c:f>
              <c:numCache>
                <c:formatCode>General</c:formatCode>
                <c:ptCount val="4"/>
                <c:pt idx="0">
                  <c:v>6.0202697499282781E-2</c:v>
                </c:pt>
                <c:pt idx="1">
                  <c:v>0.10963383775687392</c:v>
                </c:pt>
                <c:pt idx="2">
                  <c:v>0.15890441753943457</c:v>
                </c:pt>
                <c:pt idx="3">
                  <c:v>0.20802405156351222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44-476A-B9AA-F63728742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744910"/>
        <c:axId val="327798860"/>
      </c:scatterChart>
      <c:valAx>
        <c:axId val="311744910"/>
        <c:scaling>
          <c:orientation val="minMax"/>
          <c:max val="12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 sz="1200" b="0"/>
                  <a:t>ε</a:t>
                </a:r>
                <a:r>
                  <a:rPr lang="en-US" sz="1200" b="0"/>
                  <a:t>,</a:t>
                </a:r>
                <a:r>
                  <a:rPr lang="ru-RU" sz="1200" b="0" baseline="0"/>
                  <a:t> рад</a:t>
                </a:r>
                <a:r>
                  <a:rPr lang="en-US" sz="1200" b="0" baseline="0"/>
                  <a:t>/</a:t>
                </a:r>
                <a:r>
                  <a:rPr lang="ru-RU" sz="1200" b="0" baseline="0"/>
                  <a:t>сек</a:t>
                </a:r>
                <a:endParaRPr lang="ru-RU" sz="1200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27798860"/>
        <c:crosses val="autoZero"/>
        <c:crossBetween val="midCat"/>
      </c:valAx>
      <c:valAx>
        <c:axId val="327798860"/>
        <c:scaling>
          <c:orientation val="minMax"/>
          <c:max val="0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М, Н*м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1174491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I(R^2)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Лист1!$U$24:$U$29</c:f>
              <c:numCache>
                <c:formatCode>General</c:formatCode>
                <c:ptCount val="6"/>
                <c:pt idx="0">
                  <c:v>5.9290000000000002E-3</c:v>
                </c:pt>
                <c:pt idx="1">
                  <c:v>1.0403999999999998E-2</c:v>
                </c:pt>
                <c:pt idx="2">
                  <c:v>1.6129000000000001E-2</c:v>
                </c:pt>
                <c:pt idx="3">
                  <c:v>2.3104E-2</c:v>
                </c:pt>
                <c:pt idx="4">
                  <c:v>3.1328999999999996E-2</c:v>
                </c:pt>
                <c:pt idx="5">
                  <c:v>4.0804000000000007E-2</c:v>
                </c:pt>
              </c:numCache>
            </c:numRef>
          </c:xVal>
          <c:yVal>
            <c:numRef>
              <c:f>Лист1!$V$24:$V$29</c:f>
              <c:numCache>
                <c:formatCode>General</c:formatCode>
                <c:ptCount val="6"/>
                <c:pt idx="0">
                  <c:v>1.5740896380767987E-2</c:v>
                </c:pt>
                <c:pt idx="1">
                  <c:v>2.2570970354155628E-2</c:v>
                </c:pt>
                <c:pt idx="2">
                  <c:v>3.2552209164107337E-2</c:v>
                </c:pt>
                <c:pt idx="3">
                  <c:v>4.7191558058888049E-2</c:v>
                </c:pt>
                <c:pt idx="4">
                  <c:v>6.0442099279763052E-2</c:v>
                </c:pt>
                <c:pt idx="5">
                  <c:v>7.2809788332999656E-2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CA-4FA5-8FE2-C3B0A8C1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484663"/>
        <c:axId val="428086842"/>
      </c:scatterChart>
      <c:valAx>
        <c:axId val="19384846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R^2,</a:t>
                </a:r>
                <a:r>
                  <a:rPr lang="en-US" baseline="0"/>
                  <a:t> </a:t>
                </a:r>
                <a:r>
                  <a:rPr lang="ru-RU" baseline="0"/>
                  <a:t>м</a:t>
                </a:r>
                <a:r>
                  <a:rPr lang="en-US" baseline="0"/>
                  <a:t>^2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28086842"/>
        <c:crosses val="autoZero"/>
        <c:crossBetween val="midCat"/>
      </c:valAx>
      <c:valAx>
        <c:axId val="4280868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I,</a:t>
                </a:r>
                <a:r>
                  <a:rPr lang="ru-RU" baseline="0"/>
                  <a:t> кг *м</a:t>
                </a:r>
                <a:r>
                  <a:rPr lang="en-US" baseline="0"/>
                  <a:t>^2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3848466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18</xdr:row>
      <xdr:rowOff>180975</xdr:rowOff>
    </xdr:from>
    <xdr:ext cx="5286375" cy="2828925"/>
    <xdr:graphicFrame macro="">
      <xdr:nvGraphicFramePr>
        <xdr:cNvPr id="278851133" name="Chart 1">
          <a:extLst>
            <a:ext uri="{FF2B5EF4-FFF2-40B4-BE49-F238E27FC236}">
              <a16:creationId xmlns:a16="http://schemas.microsoft.com/office/drawing/2014/main" id="{00000000-0008-0000-0000-00003DEE9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20</xdr:col>
      <xdr:colOff>51707</xdr:colOff>
      <xdr:row>7</xdr:row>
      <xdr:rowOff>70756</xdr:rowOff>
    </xdr:from>
    <xdr:ext cx="3819525" cy="2571750"/>
    <xdr:graphicFrame macro="">
      <xdr:nvGraphicFramePr>
        <xdr:cNvPr id="192207683" name="Chart 2">
          <a:extLst>
            <a:ext uri="{FF2B5EF4-FFF2-40B4-BE49-F238E27FC236}">
              <a16:creationId xmlns:a16="http://schemas.microsoft.com/office/drawing/2014/main" id="{00000000-0008-0000-0000-000043DB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D19" zoomScale="85" zoomScaleNormal="85" workbookViewId="0">
      <selection activeCell="P38" sqref="P38"/>
    </sheetView>
  </sheetViews>
  <sheetFormatPr defaultColWidth="12.59765625" defaultRowHeight="15" customHeight="1" x14ac:dyDescent="0.25"/>
  <cols>
    <col min="1" max="1" width="12.59765625" customWidth="1"/>
    <col min="2" max="2" width="3" customWidth="1"/>
    <col min="3" max="8" width="8" customWidth="1"/>
    <col min="9" max="9" width="7.59765625" customWidth="1"/>
    <col min="10" max="10" width="9.8984375" customWidth="1"/>
    <col min="11" max="11" width="7.69921875" customWidth="1"/>
    <col min="12" max="12" width="9.5" customWidth="1"/>
    <col min="13" max="14" width="8.5" customWidth="1"/>
    <col min="15" max="15" width="10.19921875" customWidth="1"/>
    <col min="16" max="16" width="8.5" customWidth="1"/>
    <col min="17" max="18" width="8.19921875" customWidth="1"/>
    <col min="19" max="19" width="13.59765625" customWidth="1"/>
    <col min="20" max="20" width="11.8984375" customWidth="1"/>
    <col min="21" max="21" width="10.3984375" customWidth="1"/>
    <col min="22" max="22" width="8.19921875" customWidth="1"/>
    <col min="23" max="23" width="10.3984375" customWidth="1"/>
    <col min="24" max="26" width="7.59765625" customWidth="1"/>
  </cols>
  <sheetData>
    <row r="1" spans="1:18" ht="14.4" x14ac:dyDescent="0.3">
      <c r="A1" s="32" t="s">
        <v>0</v>
      </c>
      <c r="B1" s="34"/>
      <c r="C1" s="35" t="s">
        <v>1</v>
      </c>
      <c r="D1" s="36"/>
      <c r="E1" s="36"/>
      <c r="F1" s="36"/>
      <c r="G1" s="36"/>
      <c r="H1" s="37"/>
      <c r="J1" s="1" t="s">
        <v>2</v>
      </c>
      <c r="K1" s="2"/>
      <c r="L1" s="3"/>
      <c r="M1" s="38"/>
      <c r="N1" s="39"/>
      <c r="O1" s="39"/>
      <c r="P1" s="39"/>
      <c r="Q1" s="39"/>
      <c r="R1" s="40"/>
    </row>
    <row r="2" spans="1:18" ht="14.4" x14ac:dyDescent="0.3">
      <c r="A2" s="33"/>
      <c r="B2" s="31"/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J2" s="6">
        <f>L18</f>
        <v>0.23682553353330288</v>
      </c>
      <c r="K2" s="41"/>
      <c r="L2" s="42"/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8</v>
      </c>
    </row>
    <row r="3" spans="1:18" ht="14.4" x14ac:dyDescent="0.3">
      <c r="A3" s="29" t="s">
        <v>9</v>
      </c>
      <c r="B3" s="7" t="s">
        <v>10</v>
      </c>
      <c r="C3" s="23">
        <v>4.9400000000000004</v>
      </c>
      <c r="D3" s="8">
        <v>5.69</v>
      </c>
      <c r="E3" s="8">
        <v>6.63</v>
      </c>
      <c r="F3" s="8">
        <v>7.47</v>
      </c>
      <c r="G3" s="8">
        <v>8.2200000000000006</v>
      </c>
      <c r="H3" s="8">
        <v>9.44</v>
      </c>
      <c r="J3" s="9" t="s">
        <v>11</v>
      </c>
      <c r="K3" s="29" t="s">
        <v>12</v>
      </c>
      <c r="L3" s="10" t="s">
        <v>13</v>
      </c>
      <c r="M3" s="8">
        <f>(2*$J$4)/(C6*C6)</f>
        <v>5.9763677344443683E-2</v>
      </c>
      <c r="N3" s="8">
        <f t="shared" ref="N3:R3" si="0">(2*$J$4)/(D6*D6)</f>
        <v>4.4220704835920138E-2</v>
      </c>
      <c r="O3" s="8">
        <f t="shared" si="0"/>
        <v>3.2042405835379859E-2</v>
      </c>
      <c r="P3" s="8">
        <f t="shared" si="0"/>
        <v>2.6247369794818474E-2</v>
      </c>
      <c r="Q3" s="8">
        <f t="shared" si="0"/>
        <v>2.0957024129185747E-2</v>
      </c>
      <c r="R3" s="8">
        <f t="shared" si="0"/>
        <v>1.5677052714089746E-2</v>
      </c>
    </row>
    <row r="4" spans="1:18" ht="14.4" x14ac:dyDescent="0.3">
      <c r="A4" s="30"/>
      <c r="B4" s="11" t="s">
        <v>14</v>
      </c>
      <c r="C4" s="8">
        <v>4.83</v>
      </c>
      <c r="D4" s="8">
        <v>5.63</v>
      </c>
      <c r="E4" s="8">
        <v>6.6</v>
      </c>
      <c r="F4" s="8">
        <v>7.16</v>
      </c>
      <c r="G4" s="8">
        <v>8.06</v>
      </c>
      <c r="H4" s="8">
        <v>9.3800000000000008</v>
      </c>
      <c r="J4" s="12">
        <v>0.7</v>
      </c>
      <c r="K4" s="30"/>
      <c r="L4" s="10" t="s">
        <v>15</v>
      </c>
      <c r="M4" s="8">
        <f t="shared" ref="M4:R4" si="1">(2*M3)/$J$6</f>
        <v>2.5984207541062472</v>
      </c>
      <c r="N4" s="8">
        <f t="shared" si="1"/>
        <v>1.92263934069218</v>
      </c>
      <c r="O4" s="8">
        <f t="shared" si="1"/>
        <v>1.3931480797991243</v>
      </c>
      <c r="P4" s="8">
        <f t="shared" si="1"/>
        <v>1.1411899910790642</v>
      </c>
      <c r="Q4" s="8">
        <f t="shared" si="1"/>
        <v>0.91117496213851079</v>
      </c>
      <c r="R4" s="8">
        <f t="shared" si="1"/>
        <v>0.68161098756911942</v>
      </c>
    </row>
    <row r="5" spans="1:18" ht="14.4" x14ac:dyDescent="0.3">
      <c r="A5" s="30"/>
      <c r="B5" s="11" t="s">
        <v>16</v>
      </c>
      <c r="C5" s="8">
        <v>4.75</v>
      </c>
      <c r="D5" s="8">
        <v>5.56</v>
      </c>
      <c r="E5" s="8">
        <v>6.6</v>
      </c>
      <c r="F5" s="8">
        <v>7.28</v>
      </c>
      <c r="G5" s="8">
        <v>8.24</v>
      </c>
      <c r="H5" s="8">
        <v>9.5299999999999994</v>
      </c>
      <c r="J5" s="9" t="s">
        <v>17</v>
      </c>
      <c r="K5" s="31"/>
      <c r="L5" s="10" t="s">
        <v>18</v>
      </c>
      <c r="M5" s="8">
        <f t="shared" ref="M5:R5" si="2">(($J$6*($J$8+0.047))*(9.81908-M3))/2</f>
        <v>5.9931961537427775E-2</v>
      </c>
      <c r="N5" s="8">
        <f t="shared" si="2"/>
        <v>6.0027410931602618E-2</v>
      </c>
      <c r="O5" s="8">
        <f t="shared" si="2"/>
        <v>6.0102197865764935E-2</v>
      </c>
      <c r="P5" s="8">
        <f t="shared" si="2"/>
        <v>6.0137785182090023E-2</v>
      </c>
      <c r="Q5" s="8">
        <f t="shared" si="2"/>
        <v>6.0170273194822675E-2</v>
      </c>
      <c r="R5" s="8">
        <f t="shared" si="2"/>
        <v>6.0202697499282781E-2</v>
      </c>
    </row>
    <row r="6" spans="1:18" ht="14.4" x14ac:dyDescent="0.3">
      <c r="A6" s="31"/>
      <c r="B6" s="11" t="s">
        <v>19</v>
      </c>
      <c r="C6" s="8">
        <f t="shared" ref="C6:H6" si="3">AVERAGE(C3:C5)</f>
        <v>4.84</v>
      </c>
      <c r="D6" s="8">
        <f t="shared" si="3"/>
        <v>5.626666666666666</v>
      </c>
      <c r="E6" s="8">
        <f t="shared" si="3"/>
        <v>6.6099999999999994</v>
      </c>
      <c r="F6" s="8">
        <f t="shared" si="3"/>
        <v>7.3033333333333337</v>
      </c>
      <c r="G6" s="8">
        <f t="shared" si="3"/>
        <v>8.1733333333333338</v>
      </c>
      <c r="H6" s="8">
        <f t="shared" si="3"/>
        <v>9.4500000000000011</v>
      </c>
      <c r="J6" s="13">
        <f>0.046</f>
        <v>4.5999999999999999E-2</v>
      </c>
      <c r="K6" s="29" t="s">
        <v>20</v>
      </c>
      <c r="L6" s="10" t="s">
        <v>13</v>
      </c>
      <c r="M6" s="8">
        <f t="shared" ref="M6:R6" si="4">(2*$J$4)/(C10*C10)</f>
        <v>0.1328166834620039</v>
      </c>
      <c r="N6" s="8">
        <f t="shared" si="4"/>
        <v>9.3156060799855694E-2</v>
      </c>
      <c r="O6" s="8">
        <f t="shared" si="4"/>
        <v>6.9650778734401134E-2</v>
      </c>
      <c r="P6" s="8">
        <f t="shared" si="4"/>
        <v>5.2175727851403529E-2</v>
      </c>
      <c r="Q6" s="8">
        <f t="shared" si="4"/>
        <v>4.0355008777214402E-2</v>
      </c>
      <c r="R6" s="8">
        <f t="shared" si="4"/>
        <v>3.1218402207487905E-2</v>
      </c>
    </row>
    <row r="7" spans="1:18" ht="14.4" x14ac:dyDescent="0.3">
      <c r="A7" s="29" t="s">
        <v>20</v>
      </c>
      <c r="B7" s="11" t="str">
        <f t="shared" ref="B7:B10" si="5">B3</f>
        <v>t1</v>
      </c>
      <c r="C7" s="8">
        <v>3.31</v>
      </c>
      <c r="D7" s="8">
        <v>3.88</v>
      </c>
      <c r="E7" s="8">
        <v>4.53</v>
      </c>
      <c r="F7" s="8">
        <v>5.15</v>
      </c>
      <c r="G7" s="8">
        <v>5.94</v>
      </c>
      <c r="H7" s="8">
        <v>6.72</v>
      </c>
      <c r="J7" s="9" t="s">
        <v>21</v>
      </c>
      <c r="K7" s="30"/>
      <c r="L7" s="10" t="s">
        <v>15</v>
      </c>
      <c r="M7" s="8">
        <f t="shared" ref="M7:R7" si="6">(2*M6)/$J$6</f>
        <v>5.7746384113914742</v>
      </c>
      <c r="N7" s="8">
        <f t="shared" si="6"/>
        <v>4.050263513037204</v>
      </c>
      <c r="O7" s="8">
        <f t="shared" si="6"/>
        <v>3.0282947275826579</v>
      </c>
      <c r="P7" s="8">
        <f t="shared" si="6"/>
        <v>2.2685099065827621</v>
      </c>
      <c r="Q7" s="8">
        <f t="shared" si="6"/>
        <v>1.7545655990093219</v>
      </c>
      <c r="R7" s="8">
        <f t="shared" si="6"/>
        <v>1.3573218351081697</v>
      </c>
    </row>
    <row r="8" spans="1:18" ht="14.4" x14ac:dyDescent="0.3">
      <c r="A8" s="30"/>
      <c r="B8" s="11" t="str">
        <f t="shared" si="5"/>
        <v>t2</v>
      </c>
      <c r="C8" s="8">
        <v>3.15</v>
      </c>
      <c r="D8" s="8">
        <v>3.9</v>
      </c>
      <c r="E8" s="8">
        <v>4.4400000000000004</v>
      </c>
      <c r="F8" s="8">
        <v>5.19</v>
      </c>
      <c r="G8" s="8">
        <v>5.9</v>
      </c>
      <c r="H8" s="8">
        <v>6.68</v>
      </c>
      <c r="J8" s="12">
        <f>0.22</f>
        <v>0.22</v>
      </c>
      <c r="K8" s="31"/>
      <c r="L8" s="10" t="s">
        <v>18</v>
      </c>
      <c r="M8" s="8">
        <f t="shared" ref="M8:R8" si="7">(($J$6*($J$8*2+0.047))*(9.81908-M6))/2</f>
        <v>0.10849583540854209</v>
      </c>
      <c r="N8" s="8">
        <f t="shared" si="7"/>
        <v>0.1089400740429808</v>
      </c>
      <c r="O8" s="8">
        <f t="shared" si="7"/>
        <v>0.10920335670739596</v>
      </c>
      <c r="P8" s="8">
        <f t="shared" si="7"/>
        <v>0.1093990947523364</v>
      </c>
      <c r="Q8" s="8">
        <f t="shared" si="7"/>
        <v>0.10953149862668642</v>
      </c>
      <c r="R8" s="8">
        <f t="shared" si="7"/>
        <v>0.10963383775687392</v>
      </c>
    </row>
    <row r="9" spans="1:18" ht="14.4" x14ac:dyDescent="0.3">
      <c r="A9" s="30"/>
      <c r="B9" s="11" t="str">
        <f t="shared" si="5"/>
        <v>t3</v>
      </c>
      <c r="C9" s="8">
        <v>3.28</v>
      </c>
      <c r="D9" s="8">
        <v>3.85</v>
      </c>
      <c r="E9" s="8">
        <v>4.4800000000000004</v>
      </c>
      <c r="F9" s="8">
        <v>5.2</v>
      </c>
      <c r="G9" s="8">
        <v>5.83</v>
      </c>
      <c r="H9" s="8">
        <v>6.69</v>
      </c>
      <c r="J9" s="9" t="s">
        <v>22</v>
      </c>
      <c r="K9" s="29" t="s">
        <v>23</v>
      </c>
      <c r="L9" s="10" t="s">
        <v>13</v>
      </c>
      <c r="M9" s="8">
        <f t="shared" ref="M9:R9" si="8">(2*$J$4)/(C14*C14)</f>
        <v>0.19204389574759947</v>
      </c>
      <c r="N9" s="8">
        <f t="shared" si="8"/>
        <v>0.14951514374813105</v>
      </c>
      <c r="O9" s="8">
        <f t="shared" si="8"/>
        <v>0.10171387885877031</v>
      </c>
      <c r="P9" s="8">
        <f t="shared" si="8"/>
        <v>7.6545071378279067E-2</v>
      </c>
      <c r="Q9" s="8">
        <f t="shared" si="8"/>
        <v>6.0848371171200746E-2</v>
      </c>
      <c r="R9" s="8">
        <f t="shared" si="8"/>
        <v>4.6961585423123883E-2</v>
      </c>
    </row>
    <row r="10" spans="1:18" ht="14.4" x14ac:dyDescent="0.3">
      <c r="A10" s="31"/>
      <c r="B10" s="11" t="str">
        <f t="shared" si="5"/>
        <v>tср</v>
      </c>
      <c r="C10" s="8">
        <f t="shared" ref="C10:H10" si="9">AVERAGE(C7:C9)</f>
        <v>3.2466666666666666</v>
      </c>
      <c r="D10" s="8">
        <f t="shared" si="9"/>
        <v>3.8766666666666665</v>
      </c>
      <c r="E10" s="8">
        <f t="shared" si="9"/>
        <v>4.4833333333333334</v>
      </c>
      <c r="F10" s="8">
        <f t="shared" si="9"/>
        <v>5.18</v>
      </c>
      <c r="G10" s="8">
        <f t="shared" si="9"/>
        <v>5.8900000000000006</v>
      </c>
      <c r="H10" s="8">
        <f t="shared" si="9"/>
        <v>6.6966666666666663</v>
      </c>
      <c r="J10" s="12">
        <v>9.8190799999999996</v>
      </c>
      <c r="K10" s="30"/>
      <c r="L10" s="10" t="s">
        <v>15</v>
      </c>
      <c r="M10" s="8">
        <f t="shared" ref="M10:R10" si="10">(2*M9)/$J$6</f>
        <v>8.3497345977217172</v>
      </c>
      <c r="N10" s="8">
        <f t="shared" si="10"/>
        <v>6.5006584238317844</v>
      </c>
      <c r="O10" s="8">
        <f t="shared" si="10"/>
        <v>4.42234255907697</v>
      </c>
      <c r="P10" s="8">
        <f t="shared" si="10"/>
        <v>3.3280465816643074</v>
      </c>
      <c r="Q10" s="8">
        <f t="shared" si="10"/>
        <v>2.6455813552695977</v>
      </c>
      <c r="R10" s="8">
        <f t="shared" si="10"/>
        <v>2.0418080618749515</v>
      </c>
    </row>
    <row r="11" spans="1:18" ht="14.4" x14ac:dyDescent="0.3">
      <c r="A11" s="29" t="s">
        <v>23</v>
      </c>
      <c r="B11" s="11" t="str">
        <f t="shared" ref="B11:B14" si="11">B3</f>
        <v>t1</v>
      </c>
      <c r="C11" s="8">
        <v>2.69</v>
      </c>
      <c r="D11" s="8">
        <v>3.09</v>
      </c>
      <c r="E11" s="8">
        <v>3.66</v>
      </c>
      <c r="F11" s="8">
        <v>4.29</v>
      </c>
      <c r="G11" s="8">
        <v>4.75</v>
      </c>
      <c r="H11" s="8">
        <v>5.41</v>
      </c>
      <c r="K11" s="31"/>
      <c r="L11" s="10" t="s">
        <v>18</v>
      </c>
      <c r="M11" s="8">
        <f t="shared" ref="M11:R11" si="12">(($J$6*($J$8*3+0.047))*(9.81908-M9))/2</f>
        <v>0.15654523409124829</v>
      </c>
      <c r="N11" s="8">
        <f t="shared" si="12"/>
        <v>0.15723679412751165</v>
      </c>
      <c r="O11" s="8">
        <f t="shared" si="12"/>
        <v>0.15801409049587753</v>
      </c>
      <c r="P11" s="8">
        <f t="shared" si="12"/>
        <v>0.15842336047431782</v>
      </c>
      <c r="Q11" s="8">
        <f t="shared" si="12"/>
        <v>0.1586786045163851</v>
      </c>
      <c r="R11" s="8">
        <f t="shared" si="12"/>
        <v>0.15890441753943457</v>
      </c>
    </row>
    <row r="12" spans="1:18" ht="14.4" x14ac:dyDescent="0.3">
      <c r="A12" s="30"/>
      <c r="B12" s="11" t="str">
        <f t="shared" si="11"/>
        <v>t2</v>
      </c>
      <c r="C12" s="8">
        <v>2.72</v>
      </c>
      <c r="D12" s="8">
        <v>3.03</v>
      </c>
      <c r="E12" s="8">
        <v>3.69</v>
      </c>
      <c r="F12" s="8">
        <v>4.28</v>
      </c>
      <c r="G12" s="8">
        <v>4.8499999999999996</v>
      </c>
      <c r="H12" s="8">
        <v>5.47</v>
      </c>
      <c r="K12" s="29" t="s">
        <v>24</v>
      </c>
      <c r="L12" s="10" t="s">
        <v>13</v>
      </c>
      <c r="M12" s="8">
        <f t="shared" ref="M12:R12" si="13">(2*$J$4)/(C18*C18)</f>
        <v>0.27249134948096898</v>
      </c>
      <c r="N12" s="8">
        <f t="shared" si="13"/>
        <v>0.18923010380622832</v>
      </c>
      <c r="O12" s="8">
        <f t="shared" si="13"/>
        <v>0.13615086380159144</v>
      </c>
      <c r="P12" s="8">
        <f t="shared" si="13"/>
        <v>9.7636877603650071E-2</v>
      </c>
      <c r="Q12" s="8">
        <f t="shared" si="13"/>
        <v>7.6306984208693515E-2</v>
      </c>
      <c r="R12" s="8">
        <f t="shared" si="13"/>
        <v>6.2311951432284726E-2</v>
      </c>
    </row>
    <row r="13" spans="1:18" ht="14.4" x14ac:dyDescent="0.3">
      <c r="A13" s="30"/>
      <c r="B13" s="11" t="str">
        <f t="shared" si="11"/>
        <v>t3</v>
      </c>
      <c r="C13" s="8">
        <v>2.69</v>
      </c>
      <c r="D13" s="8">
        <v>3.06</v>
      </c>
      <c r="E13" s="8">
        <v>3.78</v>
      </c>
      <c r="F13" s="8">
        <v>4.26</v>
      </c>
      <c r="G13" s="8">
        <v>4.79</v>
      </c>
      <c r="H13" s="8">
        <v>5.5</v>
      </c>
      <c r="K13" s="30"/>
      <c r="L13" s="10" t="s">
        <v>15</v>
      </c>
      <c r="M13" s="8">
        <f t="shared" ref="M13:R13" si="14">(2*M12)/$J$6</f>
        <v>11.847449977433435</v>
      </c>
      <c r="N13" s="8">
        <f t="shared" si="14"/>
        <v>8.2273958176621012</v>
      </c>
      <c r="O13" s="8">
        <f t="shared" si="14"/>
        <v>5.9196027739822368</v>
      </c>
      <c r="P13" s="8">
        <f t="shared" si="14"/>
        <v>4.2450816349413074</v>
      </c>
      <c r="Q13" s="8">
        <f t="shared" si="14"/>
        <v>3.3176949655953702</v>
      </c>
      <c r="R13" s="8">
        <f t="shared" si="14"/>
        <v>2.7092152796645532</v>
      </c>
    </row>
    <row r="14" spans="1:18" ht="14.4" x14ac:dyDescent="0.3">
      <c r="A14" s="31"/>
      <c r="B14" s="11" t="str">
        <f t="shared" si="11"/>
        <v>tср</v>
      </c>
      <c r="C14" s="8">
        <f t="shared" ref="C14:H14" si="15">AVERAGE(C11:C13)</f>
        <v>2.6999999999999997</v>
      </c>
      <c r="D14" s="8">
        <f t="shared" si="15"/>
        <v>3.06</v>
      </c>
      <c r="E14" s="8">
        <f t="shared" si="15"/>
        <v>3.7099999999999995</v>
      </c>
      <c r="F14" s="8">
        <f t="shared" si="15"/>
        <v>4.2766666666666664</v>
      </c>
      <c r="G14" s="8">
        <f t="shared" si="15"/>
        <v>4.7966666666666669</v>
      </c>
      <c r="H14" s="8">
        <f t="shared" si="15"/>
        <v>5.46</v>
      </c>
      <c r="K14" s="31"/>
      <c r="L14" s="10" t="s">
        <v>18</v>
      </c>
      <c r="M14" s="8">
        <f>(($J$6*($J$8*4+0.047)) *(9.81908-M12))/2</f>
        <v>0.20354281661771625</v>
      </c>
      <c r="N14" s="8">
        <f t="shared" ref="N14:R14" si="16">(($J$6*($J$8*4+0.047))*(9.81908-N12))/2</f>
        <v>0.20531802963674742</v>
      </c>
      <c r="O14" s="8">
        <f t="shared" si="16"/>
        <v>0.20644973211288628</v>
      </c>
      <c r="P14" s="8">
        <f t="shared" si="16"/>
        <v>0.20727088881261257</v>
      </c>
      <c r="Q14" s="8">
        <f t="shared" si="16"/>
        <v>0.20772566346968643</v>
      </c>
      <c r="R14" s="8">
        <f t="shared" si="16"/>
        <v>0.20802405156351222</v>
      </c>
    </row>
    <row r="15" spans="1:18" ht="14.4" x14ac:dyDescent="0.3">
      <c r="A15" s="29" t="s">
        <v>24</v>
      </c>
      <c r="B15" s="11" t="str">
        <f t="shared" ref="B15:B18" si="17">B3</f>
        <v>t1</v>
      </c>
      <c r="C15" s="8">
        <v>2.21</v>
      </c>
      <c r="D15" s="8">
        <v>2.72</v>
      </c>
      <c r="E15" s="8">
        <v>3.21</v>
      </c>
      <c r="F15" s="8">
        <v>3.82</v>
      </c>
      <c r="G15" s="8">
        <v>4.28</v>
      </c>
      <c r="H15" s="8">
        <v>4.75</v>
      </c>
    </row>
    <row r="16" spans="1:18" ht="14.4" x14ac:dyDescent="0.3">
      <c r="A16" s="30"/>
      <c r="B16" s="11" t="str">
        <f t="shared" si="17"/>
        <v>t2</v>
      </c>
      <c r="C16" s="8">
        <v>2.31</v>
      </c>
      <c r="D16" s="8">
        <v>2.72</v>
      </c>
      <c r="E16" s="8">
        <v>3.22</v>
      </c>
      <c r="F16" s="8">
        <v>3.78</v>
      </c>
      <c r="G16" s="8">
        <v>4.1900000000000004</v>
      </c>
      <c r="H16" s="8">
        <v>4.8099999999999996</v>
      </c>
    </row>
    <row r="17" spans="1:23" ht="14.4" x14ac:dyDescent="0.3">
      <c r="A17" s="30"/>
      <c r="B17" s="11" t="str">
        <f t="shared" si="17"/>
        <v>t3</v>
      </c>
      <c r="C17" s="8">
        <v>2.2799999999999998</v>
      </c>
      <c r="D17" s="8">
        <v>2.72</v>
      </c>
      <c r="E17" s="8">
        <v>3.19</v>
      </c>
      <c r="F17" s="8">
        <v>3.76</v>
      </c>
      <c r="G17" s="8">
        <v>4.38</v>
      </c>
      <c r="H17" s="8">
        <v>4.66</v>
      </c>
      <c r="J17" s="5" t="s">
        <v>25</v>
      </c>
      <c r="K17" s="5" t="s">
        <v>26</v>
      </c>
      <c r="L17" s="14" t="s">
        <v>27</v>
      </c>
      <c r="N17" s="5" t="s">
        <v>28</v>
      </c>
      <c r="O17" s="5" t="s">
        <v>29</v>
      </c>
    </row>
    <row r="18" spans="1:23" ht="14.4" x14ac:dyDescent="0.3">
      <c r="A18" s="31"/>
      <c r="B18" s="11" t="str">
        <f t="shared" si="17"/>
        <v>tср</v>
      </c>
      <c r="C18" s="8">
        <f t="shared" ref="C18:H18" si="18">AVERAGE(C15:C17)</f>
        <v>2.2666666666666662</v>
      </c>
      <c r="D18" s="8">
        <f t="shared" si="18"/>
        <v>2.72</v>
      </c>
      <c r="E18" s="8">
        <f t="shared" si="18"/>
        <v>3.2066666666666666</v>
      </c>
      <c r="F18" s="8">
        <f t="shared" si="18"/>
        <v>3.7866666666666666</v>
      </c>
      <c r="G18" s="8">
        <f t="shared" si="18"/>
        <v>4.2833333333333341</v>
      </c>
      <c r="H18" s="8">
        <f t="shared" si="18"/>
        <v>4.7399999999999993</v>
      </c>
      <c r="J18" s="8">
        <f t="shared" ref="J18:J20" si="19">POWER(C3-$C$6,2)</f>
        <v>1.0000000000000106E-2</v>
      </c>
      <c r="K18" s="43">
        <f>SQRT(SUM(J18:J20)/6)</f>
        <v>5.5075705472861135E-2</v>
      </c>
      <c r="L18" s="44">
        <f>4.3*K18</f>
        <v>0.23682553353330288</v>
      </c>
      <c r="M18" s="15"/>
      <c r="N18" s="8">
        <v>1E-3</v>
      </c>
      <c r="O18" s="8">
        <f>SQRT(POWER((2/POWER(C6,2))*N18,2)+POWER((4*J4/POWER(C6,3))*L18,2))</f>
        <v>5.8492036093816795E-3</v>
      </c>
    </row>
    <row r="19" spans="1:23" ht="14.4" x14ac:dyDescent="0.3">
      <c r="J19" s="8">
        <f t="shared" si="19"/>
        <v>9.9999999999995736E-5</v>
      </c>
      <c r="K19" s="30"/>
      <c r="L19" s="45"/>
      <c r="M19" s="15"/>
      <c r="N19" s="5" t="s">
        <v>30</v>
      </c>
      <c r="O19" s="5" t="s">
        <v>31</v>
      </c>
    </row>
    <row r="20" spans="1:23" ht="14.4" x14ac:dyDescent="0.3">
      <c r="J20" s="16">
        <f t="shared" si="19"/>
        <v>8.0999999999999753E-3</v>
      </c>
      <c r="K20" s="30"/>
      <c r="L20" s="33"/>
      <c r="M20" s="15"/>
      <c r="N20" s="8">
        <v>5.0000000000000001E-4</v>
      </c>
      <c r="O20" s="8">
        <f>SQRT(POWER((2/POWER(M3,2))*N20,2)+POWER((4*J6/POWER(M3,3))*O18,2))</f>
        <v>5.0497650342760885</v>
      </c>
    </row>
    <row r="21" spans="1:23" ht="15.75" customHeight="1" x14ac:dyDescent="0.3">
      <c r="J21" s="3"/>
      <c r="K21" s="17"/>
      <c r="L21" s="17"/>
      <c r="M21" s="18"/>
    </row>
    <row r="22" spans="1:23" ht="15.75" customHeight="1" x14ac:dyDescent="0.3">
      <c r="J22" s="24"/>
      <c r="K22" s="46" t="s">
        <v>32</v>
      </c>
      <c r="L22" s="47"/>
      <c r="M22" s="47"/>
      <c r="N22" s="47"/>
      <c r="O22" s="47"/>
      <c r="P22" s="47"/>
    </row>
    <row r="23" spans="1:23" ht="15.75" customHeight="1" x14ac:dyDescent="0.3">
      <c r="J23" s="24"/>
      <c r="K23" s="25" t="str">
        <f t="shared" ref="K23:P23" si="20">M2</f>
        <v>1 риска</v>
      </c>
      <c r="L23" s="25" t="str">
        <f t="shared" si="20"/>
        <v>2 риска</v>
      </c>
      <c r="M23" s="25" t="str">
        <f t="shared" si="20"/>
        <v>3 риска</v>
      </c>
      <c r="N23" s="25" t="str">
        <f t="shared" si="20"/>
        <v>4 риска</v>
      </c>
      <c r="O23" s="25" t="str">
        <f t="shared" si="20"/>
        <v>5 риска</v>
      </c>
      <c r="P23" s="25" t="str">
        <f t="shared" si="20"/>
        <v>6 риска</v>
      </c>
      <c r="S23" s="5" t="s">
        <v>33</v>
      </c>
      <c r="T23" s="5" t="s">
        <v>34</v>
      </c>
      <c r="U23" s="5" t="s">
        <v>35</v>
      </c>
      <c r="V23" s="5" t="s">
        <v>36</v>
      </c>
      <c r="W23" s="5" t="s">
        <v>37</v>
      </c>
    </row>
    <row r="24" spans="1:23" ht="15.75" customHeight="1" x14ac:dyDescent="0.3">
      <c r="J24" s="26" t="s">
        <v>36</v>
      </c>
      <c r="K24" s="27">
        <f t="shared" ref="K24:P24" si="21">((M5-K26)*(M4-K27) + (M8-K26)*(M7-K27) + (M11-K26)*(M10-K27) + (M14-K26)*(M13-K27))/(POWER(M4-K27, 2)+POWER(M7-K27, 2)+POWER(M10-K27, 2)+POWER(M13-K27, 2))</f>
        <v>1.5740896380767987E-2</v>
      </c>
      <c r="L24" s="27">
        <f t="shared" si="21"/>
        <v>2.2570970354155628E-2</v>
      </c>
      <c r="M24" s="27">
        <f t="shared" si="21"/>
        <v>3.2552209164107337E-2</v>
      </c>
      <c r="N24" s="27">
        <f t="shared" si="21"/>
        <v>4.7191558058888049E-2</v>
      </c>
      <c r="O24" s="27">
        <f t="shared" si="21"/>
        <v>6.0442099279763052E-2</v>
      </c>
      <c r="P24" s="27">
        <f t="shared" si="21"/>
        <v>7.2809788332999656E-2</v>
      </c>
      <c r="S24" s="8">
        <v>1</v>
      </c>
      <c r="T24" s="8">
        <f t="shared" ref="T24:T29" si="22">(57+(S24-1)*25+20)/1000</f>
        <v>7.6999999999999999E-2</v>
      </c>
      <c r="U24" s="8">
        <f t="shared" ref="U24:U29" si="23">T24*T24</f>
        <v>5.9290000000000002E-3</v>
      </c>
      <c r="V24" s="8">
        <f>K24</f>
        <v>1.5740896380767987E-2</v>
      </c>
      <c r="W24" s="8">
        <f t="shared" ref="W24:W29" si="24">POWER(V24-($T$33+$T$32*U24),2)</f>
        <v>7.1572728752192913E-8</v>
      </c>
    </row>
    <row r="25" spans="1:23" ht="15.75" customHeight="1" x14ac:dyDescent="0.3">
      <c r="J25" s="26" t="s">
        <v>38</v>
      </c>
      <c r="K25" s="27">
        <f t="shared" ref="K25:P25" si="25">K26-K24*K27</f>
        <v>1.9698650340008089E-2</v>
      </c>
      <c r="L25" s="27">
        <f t="shared" si="25"/>
        <v>1.6070404959977622E-2</v>
      </c>
      <c r="M25" s="27">
        <f t="shared" si="25"/>
        <v>1.3297119615847008E-2</v>
      </c>
      <c r="N25" s="27">
        <f t="shared" si="25"/>
        <v>4.2335896540292295E-3</v>
      </c>
      <c r="O25" s="27">
        <f t="shared" si="25"/>
        <v>3.6375361845528975E-3</v>
      </c>
      <c r="P25" s="27">
        <f t="shared" si="25"/>
        <v>1.0597433313033131E-2</v>
      </c>
      <c r="S25" s="8">
        <v>2</v>
      </c>
      <c r="T25" s="8">
        <f t="shared" si="22"/>
        <v>0.10199999999999999</v>
      </c>
      <c r="U25" s="8">
        <f t="shared" si="23"/>
        <v>1.0403999999999998E-2</v>
      </c>
      <c r="V25" s="8">
        <f>L24</f>
        <v>2.2570970354155628E-2</v>
      </c>
      <c r="W25" s="8">
        <f t="shared" si="24"/>
        <v>9.5865831796655408E-7</v>
      </c>
    </row>
    <row r="26" spans="1:23" ht="15.75" customHeight="1" x14ac:dyDescent="0.3">
      <c r="J26" s="26" t="s">
        <v>39</v>
      </c>
      <c r="K26" s="27">
        <f t="shared" ref="K26:P26" si="26">AVERAGE(M5, M8, M11, M14)</f>
        <v>0.13212896191373361</v>
      </c>
      <c r="L26" s="27">
        <f t="shared" si="26"/>
        <v>0.13288057718471061</v>
      </c>
      <c r="M26" s="27">
        <f t="shared" si="26"/>
        <v>0.13344234429548119</v>
      </c>
      <c r="N26" s="27">
        <f t="shared" si="26"/>
        <v>0.13380778230533921</v>
      </c>
      <c r="O26" s="27">
        <f t="shared" si="26"/>
        <v>0.13402650995189516</v>
      </c>
      <c r="P26" s="27">
        <f t="shared" si="26"/>
        <v>0.13419125108977586</v>
      </c>
      <c r="S26" s="8">
        <v>3</v>
      </c>
      <c r="T26" s="8">
        <f t="shared" si="22"/>
        <v>0.127</v>
      </c>
      <c r="U26" s="8">
        <f t="shared" si="23"/>
        <v>1.6129000000000001E-2</v>
      </c>
      <c r="V26" s="8">
        <f>M24</f>
        <v>3.2552209164107337E-2</v>
      </c>
      <c r="W26" s="8">
        <f t="shared" si="24"/>
        <v>4.1748867718316551E-7</v>
      </c>
    </row>
    <row r="27" spans="1:23" ht="15.75" customHeight="1" x14ac:dyDescent="0.3">
      <c r="J27" s="26" t="s">
        <v>40</v>
      </c>
      <c r="K27" s="27">
        <f t="shared" ref="K27:P27" si="27">AVERAGE(M4, M7, M10, M13)</f>
        <v>7.1425609351632184</v>
      </c>
      <c r="L27" s="27">
        <f t="shared" si="27"/>
        <v>5.1752392738058166</v>
      </c>
      <c r="M27" s="27">
        <f t="shared" si="27"/>
        <v>3.6908470351102469</v>
      </c>
      <c r="N27" s="27">
        <f t="shared" si="27"/>
        <v>2.7457070285668603</v>
      </c>
      <c r="O27" s="27">
        <f t="shared" si="27"/>
        <v>2.1572542205032001</v>
      </c>
      <c r="P27" s="27">
        <f t="shared" si="27"/>
        <v>1.6974890410541983</v>
      </c>
      <c r="S27" s="8">
        <v>4</v>
      </c>
      <c r="T27" s="8">
        <f t="shared" si="22"/>
        <v>0.152</v>
      </c>
      <c r="U27" s="8">
        <f t="shared" si="23"/>
        <v>2.3104E-2</v>
      </c>
      <c r="V27" s="8">
        <f>N24</f>
        <v>4.7191558058888049E-2</v>
      </c>
      <c r="W27" s="8">
        <f t="shared" si="24"/>
        <v>5.0101949973039911E-6</v>
      </c>
    </row>
    <row r="28" spans="1:23" ht="15.75" customHeight="1" x14ac:dyDescent="0.3">
      <c r="S28" s="8">
        <v>5</v>
      </c>
      <c r="T28" s="8">
        <f t="shared" si="22"/>
        <v>0.17699999999999999</v>
      </c>
      <c r="U28" s="8">
        <f t="shared" si="23"/>
        <v>3.1328999999999996E-2</v>
      </c>
      <c r="V28" s="8">
        <f>O24</f>
        <v>6.0442099279763052E-2</v>
      </c>
      <c r="W28" s="8">
        <f t="shared" si="24"/>
        <v>2.6484686183266545E-6</v>
      </c>
    </row>
    <row r="29" spans="1:23" ht="15.75" customHeight="1" x14ac:dyDescent="0.3">
      <c r="J29" s="19">
        <v>-1</v>
      </c>
      <c r="K29" s="19">
        <f t="shared" ref="K29:P29" si="28">$J$29*K24+K25</f>
        <v>3.9577539592401019E-3</v>
      </c>
      <c r="L29" s="19">
        <f t="shared" si="28"/>
        <v>-6.500565394178006E-3</v>
      </c>
      <c r="M29" s="19">
        <f t="shared" si="28"/>
        <v>-1.9255089548260329E-2</v>
      </c>
      <c r="N29" s="19">
        <f t="shared" si="28"/>
        <v>-4.2957968404858819E-2</v>
      </c>
      <c r="O29" s="19">
        <f t="shared" si="28"/>
        <v>-5.6804563095210155E-2</v>
      </c>
      <c r="P29" s="19">
        <f t="shared" si="28"/>
        <v>-6.2212355019966525E-2</v>
      </c>
      <c r="S29" s="8">
        <v>6</v>
      </c>
      <c r="T29" s="8">
        <f t="shared" si="22"/>
        <v>0.20200000000000001</v>
      </c>
      <c r="U29" s="8">
        <f t="shared" si="23"/>
        <v>4.0804000000000007E-2</v>
      </c>
      <c r="V29" s="8">
        <f>P24</f>
        <v>7.2809788332999656E-2</v>
      </c>
      <c r="W29" s="8">
        <f t="shared" si="24"/>
        <v>3.8926607284163005E-6</v>
      </c>
    </row>
    <row r="30" spans="1:23" ht="15.75" customHeight="1" x14ac:dyDescent="0.3">
      <c r="J30" s="19">
        <v>11</v>
      </c>
      <c r="K30" s="19">
        <f t="shared" ref="K30:P30" si="29">$J$30*K24+K25</f>
        <v>0.19284851052845595</v>
      </c>
      <c r="L30" s="19">
        <f t="shared" si="29"/>
        <v>0.26435107885568954</v>
      </c>
      <c r="M30" s="19">
        <f t="shared" si="29"/>
        <v>0.37137142042102772</v>
      </c>
      <c r="N30" s="19">
        <f t="shared" si="29"/>
        <v>0.52334072830179779</v>
      </c>
      <c r="O30" s="19">
        <f t="shared" si="29"/>
        <v>0.66850062826194645</v>
      </c>
      <c r="P30" s="19">
        <f t="shared" si="29"/>
        <v>0.81150510497602935</v>
      </c>
      <c r="T30" s="5" t="s">
        <v>41</v>
      </c>
      <c r="U30" s="8">
        <f t="shared" ref="U30:V30" si="30">AVERAGE(U24:U29)</f>
        <v>2.1283166666666669E-2</v>
      </c>
      <c r="V30" s="8">
        <f t="shared" si="30"/>
        <v>4.1884586928446953E-2</v>
      </c>
      <c r="W30" s="8"/>
    </row>
    <row r="31" spans="1:23" ht="15.75" customHeight="1" x14ac:dyDescent="0.25"/>
    <row r="32" spans="1:23" ht="15.75" customHeight="1" x14ac:dyDescent="0.3">
      <c r="J32" s="20"/>
      <c r="S32" s="19" t="s">
        <v>42</v>
      </c>
      <c r="T32" s="19">
        <f>((U24-U30)*(V24-V30)+(U25-U30)*(V25-V30)+(U26-U30)*(V26-V30)+(U27-U30)*(V27-V30)+(U28-U30)*(V28-V30)+(U29-U30)*(V29-V30))/(POWER(U24-U30,2)+POWER(U25-U30,2)+POWER(U26-U30,2)+POWER(U27-U30,2)+POWER(U28-U30,2)+POWER(U29-U30,2))</f>
        <v>1.6852858451916055</v>
      </c>
      <c r="U32" s="19"/>
    </row>
    <row r="33" spans="1:21" ht="15.75" customHeight="1" x14ac:dyDescent="0.3">
      <c r="S33" s="19" t="s">
        <v>43</v>
      </c>
      <c r="T33" s="19">
        <f>V30-T32*U30</f>
        <v>6.0163674042598078E-3</v>
      </c>
      <c r="U33" s="19"/>
    </row>
    <row r="34" spans="1:21" ht="15.75" customHeight="1" x14ac:dyDescent="0.3">
      <c r="S34" s="19" t="s">
        <v>44</v>
      </c>
      <c r="T34" s="19">
        <f>POWER(U24-U30,2)+POWER(U25-U30,2)+POWER(U26-U30,2)+POWER(U27-U30,2)+POWER(U28-U30,2)+POWER(U29-U30,2)</f>
        <v>8.6596927083333359E-4</v>
      </c>
      <c r="U34" s="19"/>
    </row>
    <row r="35" spans="1:21" ht="15.75" customHeight="1" x14ac:dyDescent="0.3">
      <c r="D35" t="s">
        <v>12</v>
      </c>
      <c r="E35" t="s">
        <v>20</v>
      </c>
      <c r="F35" t="s">
        <v>23</v>
      </c>
      <c r="G35" t="s">
        <v>24</v>
      </c>
      <c r="S35" s="19"/>
      <c r="T35" s="19">
        <v>0</v>
      </c>
      <c r="U35" s="19">
        <f t="shared" ref="U35:U36" si="31">T35*$T$32+$T$33</f>
        <v>6.0163674042598078E-3</v>
      </c>
    </row>
    <row r="36" spans="1:21" ht="15.75" customHeight="1" x14ac:dyDescent="0.3">
      <c r="A36" s="28" t="s">
        <v>3</v>
      </c>
      <c r="C36" t="s">
        <v>15</v>
      </c>
      <c r="D36" s="19">
        <f t="shared" ref="D36:D37" si="32">M4</f>
        <v>2.5984207541062472</v>
      </c>
      <c r="E36" s="19">
        <f t="shared" ref="E36:E37" si="33">M7</f>
        <v>5.7746384113914742</v>
      </c>
      <c r="F36" s="19">
        <f t="shared" ref="F36:F37" si="34">M10</f>
        <v>8.3497345977217172</v>
      </c>
      <c r="G36" s="19">
        <f t="shared" ref="G36:G37" si="35">M13</f>
        <v>11.847449977433435</v>
      </c>
      <c r="H36" t="s">
        <v>52</v>
      </c>
      <c r="I36">
        <f>AVERAGE(D36:G36)</f>
        <v>7.1425609351632184</v>
      </c>
      <c r="N36" s="48" t="s">
        <v>45</v>
      </c>
      <c r="O36" s="40"/>
      <c r="P36" s="21" t="s">
        <v>46</v>
      </c>
      <c r="S36" s="19"/>
      <c r="T36" s="19">
        <v>0.1</v>
      </c>
      <c r="U36" s="19">
        <f t="shared" si="31"/>
        <v>0.17454495192342037</v>
      </c>
    </row>
    <row r="37" spans="1:21" ht="15.75" customHeight="1" x14ac:dyDescent="0.3">
      <c r="A37" s="28"/>
      <c r="C37" t="s">
        <v>51</v>
      </c>
      <c r="D37" s="19">
        <f t="shared" si="32"/>
        <v>5.9931961537427775E-2</v>
      </c>
      <c r="E37" s="19">
        <f t="shared" si="33"/>
        <v>0.10849583540854209</v>
      </c>
      <c r="F37" s="19">
        <f t="shared" si="34"/>
        <v>0.15654523409124829</v>
      </c>
      <c r="G37" s="19">
        <f t="shared" si="35"/>
        <v>0.20354281661771625</v>
      </c>
      <c r="H37" t="s">
        <v>52</v>
      </c>
      <c r="I37">
        <f>AVERAGE(D37:G37)</f>
        <v>0.13212896191373361</v>
      </c>
      <c r="N37" s="5" t="s">
        <v>47</v>
      </c>
      <c r="O37" s="5">
        <f>T33</f>
        <v>6.0163674042598078E-3</v>
      </c>
      <c r="P37" s="21">
        <f t="shared" ref="P37:P38" si="36">2.57*U39</f>
        <v>9.6445521740280843E-3</v>
      </c>
    </row>
    <row r="38" spans="1:21" ht="15.75" customHeight="1" x14ac:dyDescent="0.3">
      <c r="D38" s="19"/>
      <c r="E38" s="19"/>
      <c r="F38" s="19"/>
      <c r="G38" s="19"/>
      <c r="N38" s="5" t="s">
        <v>48</v>
      </c>
      <c r="O38" s="5">
        <f>T32/4</f>
        <v>0.42132146129790138</v>
      </c>
      <c r="P38" s="21">
        <f>2.57*U40*100</f>
        <v>5.7607044693046836E-4</v>
      </c>
    </row>
    <row r="39" spans="1:21" ht="15.75" customHeight="1" x14ac:dyDescent="0.3">
      <c r="A39" s="28" t="s">
        <v>4</v>
      </c>
      <c r="C39" t="s">
        <v>15</v>
      </c>
      <c r="D39" s="19">
        <f t="shared" ref="D39:D40" si="37">N4</f>
        <v>1.92263934069218</v>
      </c>
      <c r="E39" s="19">
        <f t="shared" ref="E39:E40" si="38">N7</f>
        <v>4.050263513037204</v>
      </c>
      <c r="F39" s="19">
        <f t="shared" ref="F39:F40" si="39">N10</f>
        <v>6.5006584238317844</v>
      </c>
      <c r="G39" s="19">
        <f t="shared" ref="G39:G40" si="40">N13</f>
        <v>8.2273958176621012</v>
      </c>
      <c r="H39" t="s">
        <v>52</v>
      </c>
      <c r="I39">
        <f t="shared" ref="I39:I40" si="41">AVERAGE(D39:G39)</f>
        <v>5.1752392738058166</v>
      </c>
      <c r="T39" s="22" t="s">
        <v>49</v>
      </c>
      <c r="U39" s="22">
        <f>(1/T34)*(SUM(W24:W29)/(6-2))</f>
        <v>3.7527440365868032E-3</v>
      </c>
    </row>
    <row r="40" spans="1:21" ht="15.75" customHeight="1" x14ac:dyDescent="0.3">
      <c r="A40" s="28"/>
      <c r="C40" t="s">
        <v>51</v>
      </c>
      <c r="D40" s="19">
        <f t="shared" si="37"/>
        <v>6.0027410931602618E-2</v>
      </c>
      <c r="E40" s="19">
        <f t="shared" si="38"/>
        <v>0.1089400740429808</v>
      </c>
      <c r="F40" s="19">
        <f t="shared" si="39"/>
        <v>0.15723679412751165</v>
      </c>
      <c r="G40" s="19">
        <f t="shared" si="40"/>
        <v>0.20531802963674742</v>
      </c>
      <c r="H40" t="s">
        <v>52</v>
      </c>
      <c r="I40">
        <f t="shared" si="41"/>
        <v>0.13288057718471061</v>
      </c>
      <c r="T40" s="22" t="s">
        <v>50</v>
      </c>
      <c r="U40" s="22">
        <f>((1/6)+(U30*U30)/T34)*(SUM(W24:W29)/4)</f>
        <v>2.2415192487566863E-6</v>
      </c>
    </row>
    <row r="41" spans="1:21" ht="15.75" customHeight="1" x14ac:dyDescent="0.25"/>
    <row r="42" spans="1:21" ht="15.75" customHeight="1" x14ac:dyDescent="0.3">
      <c r="A42" s="28" t="s">
        <v>5</v>
      </c>
      <c r="C42" t="s">
        <v>15</v>
      </c>
      <c r="D42" s="21">
        <f t="shared" ref="D42:D43" si="42">O4</f>
        <v>1.3931480797991243</v>
      </c>
      <c r="E42" s="21">
        <f t="shared" ref="E42:E43" si="43">O7</f>
        <v>3.0282947275826579</v>
      </c>
      <c r="F42" s="21">
        <f t="shared" ref="F42:F43" si="44">O10</f>
        <v>4.42234255907697</v>
      </c>
      <c r="G42" s="21">
        <f t="shared" ref="G42:G43" si="45">O13</f>
        <v>5.9196027739822368</v>
      </c>
      <c r="H42" t="s">
        <v>52</v>
      </c>
      <c r="I42">
        <f t="shared" ref="I42:I46" si="46">AVERAGE(D42:G42)</f>
        <v>3.6908470351102469</v>
      </c>
    </row>
    <row r="43" spans="1:21" ht="15.75" customHeight="1" x14ac:dyDescent="0.3">
      <c r="A43" s="28"/>
      <c r="C43" t="s">
        <v>51</v>
      </c>
      <c r="D43" s="21">
        <f t="shared" si="42"/>
        <v>6.0102197865764935E-2</v>
      </c>
      <c r="E43" s="21">
        <f t="shared" si="43"/>
        <v>0.10920335670739596</v>
      </c>
      <c r="F43" s="21">
        <f t="shared" si="44"/>
        <v>0.15801409049587753</v>
      </c>
      <c r="G43" s="21">
        <f t="shared" si="45"/>
        <v>0.20644973211288628</v>
      </c>
      <c r="H43" t="s">
        <v>52</v>
      </c>
      <c r="I43">
        <f t="shared" si="46"/>
        <v>0.13344234429548119</v>
      </c>
    </row>
    <row r="44" spans="1:21" ht="15.75" customHeight="1" x14ac:dyDescent="0.25"/>
    <row r="45" spans="1:21" ht="15.75" customHeight="1" x14ac:dyDescent="0.3">
      <c r="A45" s="28" t="s">
        <v>6</v>
      </c>
      <c r="C45" t="s">
        <v>15</v>
      </c>
      <c r="D45" s="21">
        <f t="shared" ref="D45:D46" si="47">P4</f>
        <v>1.1411899910790642</v>
      </c>
      <c r="E45" s="21">
        <f t="shared" ref="E45:E46" si="48">P7</f>
        <v>2.2685099065827621</v>
      </c>
      <c r="F45" s="21">
        <f t="shared" ref="F45:F46" si="49">P10</f>
        <v>3.3280465816643074</v>
      </c>
      <c r="G45" s="21">
        <f>R13</f>
        <v>2.7092152796645532</v>
      </c>
      <c r="H45" t="s">
        <v>52</v>
      </c>
      <c r="I45">
        <f t="shared" si="46"/>
        <v>2.3617404397476718</v>
      </c>
    </row>
    <row r="46" spans="1:21" ht="15.75" customHeight="1" x14ac:dyDescent="0.3">
      <c r="A46" s="28"/>
      <c r="C46" t="s">
        <v>51</v>
      </c>
      <c r="D46" s="21">
        <f t="shared" si="47"/>
        <v>6.0137785182090023E-2</v>
      </c>
      <c r="E46" s="21">
        <f t="shared" si="48"/>
        <v>0.1093990947523364</v>
      </c>
      <c r="F46" s="21">
        <f t="shared" si="49"/>
        <v>0.15842336047431782</v>
      </c>
      <c r="G46" s="21">
        <f t="shared" ref="G46" si="50">P14</f>
        <v>0.20727088881261257</v>
      </c>
      <c r="H46" t="s">
        <v>52</v>
      </c>
      <c r="I46">
        <f t="shared" si="46"/>
        <v>0.13380778230533921</v>
      </c>
    </row>
    <row r="47" spans="1:21" ht="15.75" customHeight="1" x14ac:dyDescent="0.25"/>
    <row r="48" spans="1:21" ht="15.75" customHeight="1" x14ac:dyDescent="0.3">
      <c r="A48" s="28" t="s">
        <v>7</v>
      </c>
      <c r="C48" t="s">
        <v>15</v>
      </c>
      <c r="D48" s="21">
        <f>Q4</f>
        <v>0.91117496213851079</v>
      </c>
      <c r="E48" s="21">
        <f>Q7</f>
        <v>1.7545655990093219</v>
      </c>
      <c r="F48" s="21">
        <f>Q10</f>
        <v>2.6455813552695977</v>
      </c>
      <c r="G48" s="21">
        <f>Q13</f>
        <v>3.3176949655953702</v>
      </c>
      <c r="H48" t="s">
        <v>52</v>
      </c>
      <c r="I48">
        <f t="shared" ref="I48:I49" si="51">AVERAGE(D48:G48)</f>
        <v>2.1572542205032001</v>
      </c>
    </row>
    <row r="49" spans="1:9" ht="15.75" customHeight="1" x14ac:dyDescent="0.3">
      <c r="A49" s="28"/>
      <c r="C49" t="s">
        <v>51</v>
      </c>
      <c r="D49" s="21">
        <f>Q5</f>
        <v>6.0170273194822675E-2</v>
      </c>
      <c r="E49" s="21">
        <f>Q8</f>
        <v>0.10953149862668642</v>
      </c>
      <c r="F49" s="21">
        <f>Q11</f>
        <v>0.1586786045163851</v>
      </c>
      <c r="G49" s="21">
        <f>Q14</f>
        <v>0.20772566346968643</v>
      </c>
      <c r="H49" t="s">
        <v>52</v>
      </c>
      <c r="I49">
        <f t="shared" si="51"/>
        <v>0.13402650995189516</v>
      </c>
    </row>
    <row r="50" spans="1:9" ht="15.75" customHeight="1" x14ac:dyDescent="0.25"/>
    <row r="51" spans="1:9" ht="15.75" customHeight="1" x14ac:dyDescent="0.3">
      <c r="A51" s="28" t="s">
        <v>8</v>
      </c>
      <c r="C51" t="s">
        <v>15</v>
      </c>
      <c r="D51" s="21">
        <f>R4</f>
        <v>0.68161098756911942</v>
      </c>
      <c r="E51" s="21">
        <f>R7</f>
        <v>1.3573218351081697</v>
      </c>
      <c r="F51" s="21">
        <f>R10</f>
        <v>2.0418080618749515</v>
      </c>
      <c r="G51" s="21">
        <f>R13</f>
        <v>2.7092152796645532</v>
      </c>
      <c r="H51" t="s">
        <v>52</v>
      </c>
      <c r="I51">
        <f t="shared" ref="I51:I52" si="52">AVERAGE(D51:G51)</f>
        <v>1.6974890410541983</v>
      </c>
    </row>
    <row r="52" spans="1:9" ht="15.75" customHeight="1" x14ac:dyDescent="0.3">
      <c r="A52" s="28"/>
      <c r="C52" t="s">
        <v>51</v>
      </c>
      <c r="D52" s="21">
        <f>R5</f>
        <v>6.0202697499282781E-2</v>
      </c>
      <c r="E52" s="21">
        <f>R8</f>
        <v>0.10963383775687392</v>
      </c>
      <c r="F52" s="21">
        <f>R11</f>
        <v>0.15890441753943457</v>
      </c>
      <c r="G52" s="21">
        <f>R14</f>
        <v>0.20802405156351222</v>
      </c>
      <c r="H52" t="s">
        <v>52</v>
      </c>
      <c r="I52">
        <f t="shared" si="52"/>
        <v>0.13419125108977586</v>
      </c>
    </row>
    <row r="53" spans="1:9" ht="15.75" customHeight="1" x14ac:dyDescent="0.25"/>
    <row r="54" spans="1:9" ht="15.75" customHeight="1" x14ac:dyDescent="0.25"/>
    <row r="55" spans="1:9" ht="15.75" customHeight="1" x14ac:dyDescent="0.25"/>
    <row r="56" spans="1:9" ht="15.75" customHeight="1" x14ac:dyDescent="0.25"/>
    <row r="57" spans="1:9" ht="15.75" customHeight="1" x14ac:dyDescent="0.25"/>
    <row r="58" spans="1:9" ht="15.75" customHeight="1" x14ac:dyDescent="0.25"/>
    <row r="59" spans="1:9" ht="15.75" customHeight="1" x14ac:dyDescent="0.25"/>
    <row r="60" spans="1:9" ht="15.75" customHeight="1" x14ac:dyDescent="0.25"/>
    <row r="61" spans="1:9" ht="15.75" customHeight="1" x14ac:dyDescent="0.25"/>
    <row r="62" spans="1:9" ht="15.75" customHeight="1" x14ac:dyDescent="0.25"/>
    <row r="63" spans="1:9" ht="15.75" customHeight="1" x14ac:dyDescent="0.25"/>
    <row r="64" spans="1: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L18:L20"/>
    <mergeCell ref="K22:P22"/>
    <mergeCell ref="N36:O36"/>
    <mergeCell ref="A1:A2"/>
    <mergeCell ref="B1:B2"/>
    <mergeCell ref="C1:H1"/>
    <mergeCell ref="M1:R1"/>
    <mergeCell ref="K2:L2"/>
    <mergeCell ref="K3:K5"/>
    <mergeCell ref="K6:K8"/>
    <mergeCell ref="A36:A37"/>
    <mergeCell ref="A3:A6"/>
    <mergeCell ref="A7:A10"/>
    <mergeCell ref="A11:A14"/>
    <mergeCell ref="A15:A18"/>
    <mergeCell ref="K9:K11"/>
    <mergeCell ref="K12:K14"/>
    <mergeCell ref="K18:K20"/>
    <mergeCell ref="A51:A52"/>
    <mergeCell ref="A48:A49"/>
    <mergeCell ref="A45:A46"/>
    <mergeCell ref="A42:A43"/>
    <mergeCell ref="A39:A40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Lord Kelvin</cp:lastModifiedBy>
  <dcterms:created xsi:type="dcterms:W3CDTF">2020-10-19T16:15:41Z</dcterms:created>
  <dcterms:modified xsi:type="dcterms:W3CDTF">2020-11-17T04:34:14Z</dcterms:modified>
</cp:coreProperties>
</file>