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421"/>
  <workbookPr autoCompressPictures="0"/>
  <bookViews>
    <workbookView xWindow="240" yWindow="20" windowWidth="24740" windowHeight="16560"/>
  </bookViews>
  <sheets>
    <sheet name="power-board. " sheetId="1" r:id="rId1"/>
  </sheets>
  <definedNames>
    <definedName name="BoardQty">'power-board. '!$J$1</definedName>
    <definedName name="digikey_part_data">'power-board. '!$K$5:$P$78</definedName>
    <definedName name="global_part_data">'power-board. '!$A$5:$J$78</definedName>
    <definedName name="mouser_part_data">'power-board. '!$Q$5:$V$78</definedName>
    <definedName name="TotalCost">'power-board. '!$J$2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151" i="1" l="1" a="1"/>
  <c r="T151" i="1"/>
  <c r="S151" i="1" a="1"/>
  <c r="S151" i="1"/>
  <c r="R151" i="1" a="1"/>
  <c r="R151" i="1"/>
  <c r="N151" i="1" a="1"/>
  <c r="N151" i="1"/>
  <c r="M151" i="1" a="1"/>
  <c r="M151" i="1"/>
  <c r="L151" i="1" a="1"/>
  <c r="L151" i="1"/>
  <c r="T150" i="1" a="1"/>
  <c r="T150" i="1"/>
  <c r="S150" i="1" a="1"/>
  <c r="S150" i="1"/>
  <c r="R150" i="1" a="1"/>
  <c r="R150" i="1"/>
  <c r="N150" i="1" a="1"/>
  <c r="N150" i="1"/>
  <c r="M150" i="1" a="1"/>
  <c r="M150" i="1"/>
  <c r="L150" i="1" a="1"/>
  <c r="L150" i="1"/>
  <c r="T149" i="1" a="1"/>
  <c r="T149" i="1"/>
  <c r="S149" i="1" a="1"/>
  <c r="S149" i="1"/>
  <c r="R149" i="1" a="1"/>
  <c r="R149" i="1"/>
  <c r="N149" i="1" a="1"/>
  <c r="N149" i="1"/>
  <c r="M149" i="1" a="1"/>
  <c r="M149" i="1"/>
  <c r="L149" i="1" a="1"/>
  <c r="L149" i="1"/>
  <c r="T148" i="1" a="1"/>
  <c r="T148" i="1"/>
  <c r="S148" i="1" a="1"/>
  <c r="S148" i="1"/>
  <c r="R148" i="1" a="1"/>
  <c r="R148" i="1"/>
  <c r="N148" i="1" a="1"/>
  <c r="N148" i="1"/>
  <c r="M148" i="1" a="1"/>
  <c r="M148" i="1"/>
  <c r="L148" i="1" a="1"/>
  <c r="L148" i="1"/>
  <c r="T147" i="1" a="1"/>
  <c r="T147" i="1"/>
  <c r="S147" i="1" a="1"/>
  <c r="S147" i="1"/>
  <c r="R147" i="1" a="1"/>
  <c r="R147" i="1"/>
  <c r="N147" i="1" a="1"/>
  <c r="N147" i="1"/>
  <c r="M147" i="1" a="1"/>
  <c r="M147" i="1"/>
  <c r="L147" i="1" a="1"/>
  <c r="L147" i="1"/>
  <c r="T146" i="1" a="1"/>
  <c r="T146" i="1"/>
  <c r="S146" i="1" a="1"/>
  <c r="S146" i="1"/>
  <c r="R146" i="1" a="1"/>
  <c r="R146" i="1"/>
  <c r="N146" i="1" a="1"/>
  <c r="N146" i="1"/>
  <c r="M146" i="1" a="1"/>
  <c r="M146" i="1"/>
  <c r="L146" i="1" a="1"/>
  <c r="L146" i="1"/>
  <c r="T145" i="1" a="1"/>
  <c r="T145" i="1"/>
  <c r="S145" i="1" a="1"/>
  <c r="S145" i="1"/>
  <c r="R145" i="1" a="1"/>
  <c r="R145" i="1"/>
  <c r="N145" i="1" a="1"/>
  <c r="N145" i="1"/>
  <c r="M145" i="1" a="1"/>
  <c r="M145" i="1"/>
  <c r="L145" i="1" a="1"/>
  <c r="L145" i="1"/>
  <c r="T144" i="1" a="1"/>
  <c r="T144" i="1"/>
  <c r="S144" i="1" a="1"/>
  <c r="S144" i="1"/>
  <c r="R144" i="1" a="1"/>
  <c r="R144" i="1"/>
  <c r="N144" i="1" a="1"/>
  <c r="N144" i="1"/>
  <c r="M144" i="1" a="1"/>
  <c r="M144" i="1"/>
  <c r="L144" i="1" a="1"/>
  <c r="L144" i="1"/>
  <c r="T143" i="1" a="1"/>
  <c r="T143" i="1"/>
  <c r="S143" i="1" a="1"/>
  <c r="S143" i="1"/>
  <c r="R143" i="1" a="1"/>
  <c r="R143" i="1"/>
  <c r="N143" i="1" a="1"/>
  <c r="N143" i="1"/>
  <c r="M143" i="1" a="1"/>
  <c r="M143" i="1"/>
  <c r="L143" i="1" a="1"/>
  <c r="L143" i="1"/>
  <c r="T142" i="1" a="1"/>
  <c r="T142" i="1"/>
  <c r="S142" i="1" a="1"/>
  <c r="S142" i="1"/>
  <c r="R142" i="1" a="1"/>
  <c r="R142" i="1"/>
  <c r="N142" i="1" a="1"/>
  <c r="N142" i="1"/>
  <c r="M142" i="1" a="1"/>
  <c r="M142" i="1"/>
  <c r="L142" i="1" a="1"/>
  <c r="L142" i="1"/>
  <c r="T141" i="1" a="1"/>
  <c r="T141" i="1"/>
  <c r="S141" i="1" a="1"/>
  <c r="S141" i="1"/>
  <c r="R141" i="1" a="1"/>
  <c r="R141" i="1"/>
  <c r="N141" i="1" a="1"/>
  <c r="N141" i="1"/>
  <c r="M141" i="1" a="1"/>
  <c r="M141" i="1"/>
  <c r="L141" i="1" a="1"/>
  <c r="L141" i="1"/>
  <c r="T140" i="1" a="1"/>
  <c r="T140" i="1"/>
  <c r="S140" i="1" a="1"/>
  <c r="S140" i="1"/>
  <c r="R140" i="1" a="1"/>
  <c r="R140" i="1"/>
  <c r="N140" i="1" a="1"/>
  <c r="N140" i="1"/>
  <c r="M140" i="1" a="1"/>
  <c r="M140" i="1"/>
  <c r="L140" i="1" a="1"/>
  <c r="L140" i="1"/>
  <c r="T139" i="1" a="1"/>
  <c r="T139" i="1"/>
  <c r="S139" i="1" a="1"/>
  <c r="S139" i="1"/>
  <c r="R139" i="1" a="1"/>
  <c r="R139" i="1"/>
  <c r="N139" i="1" a="1"/>
  <c r="N139" i="1"/>
  <c r="M139" i="1" a="1"/>
  <c r="M139" i="1"/>
  <c r="L139" i="1" a="1"/>
  <c r="L139" i="1"/>
  <c r="T138" i="1" a="1"/>
  <c r="T138" i="1"/>
  <c r="S138" i="1" a="1"/>
  <c r="S138" i="1"/>
  <c r="R138" i="1" a="1"/>
  <c r="R138" i="1"/>
  <c r="N138" i="1" a="1"/>
  <c r="N138" i="1"/>
  <c r="M138" i="1" a="1"/>
  <c r="M138" i="1"/>
  <c r="L138" i="1" a="1"/>
  <c r="L138" i="1"/>
  <c r="T137" i="1" a="1"/>
  <c r="T137" i="1"/>
  <c r="S137" i="1" a="1"/>
  <c r="S137" i="1"/>
  <c r="R137" i="1" a="1"/>
  <c r="R137" i="1"/>
  <c r="N137" i="1" a="1"/>
  <c r="N137" i="1"/>
  <c r="M137" i="1" a="1"/>
  <c r="M137" i="1"/>
  <c r="L137" i="1" a="1"/>
  <c r="L137" i="1"/>
  <c r="T136" i="1" a="1"/>
  <c r="T136" i="1"/>
  <c r="S136" i="1" a="1"/>
  <c r="S136" i="1"/>
  <c r="R136" i="1" a="1"/>
  <c r="R136" i="1"/>
  <c r="N136" i="1" a="1"/>
  <c r="N136" i="1"/>
  <c r="M136" i="1" a="1"/>
  <c r="M136" i="1"/>
  <c r="L136" i="1" a="1"/>
  <c r="L136" i="1"/>
  <c r="T135" i="1" a="1"/>
  <c r="T135" i="1"/>
  <c r="S135" i="1" a="1"/>
  <c r="S135" i="1"/>
  <c r="R135" i="1" a="1"/>
  <c r="R135" i="1"/>
  <c r="N135" i="1" a="1"/>
  <c r="N135" i="1"/>
  <c r="M135" i="1" a="1"/>
  <c r="M135" i="1"/>
  <c r="L135" i="1" a="1"/>
  <c r="L135" i="1"/>
  <c r="T134" i="1" a="1"/>
  <c r="T134" i="1"/>
  <c r="S134" i="1" a="1"/>
  <c r="S134" i="1"/>
  <c r="R134" i="1" a="1"/>
  <c r="R134" i="1"/>
  <c r="N134" i="1" a="1"/>
  <c r="N134" i="1"/>
  <c r="M134" i="1" a="1"/>
  <c r="M134" i="1"/>
  <c r="L134" i="1" a="1"/>
  <c r="L134" i="1"/>
  <c r="T133" i="1" a="1"/>
  <c r="T133" i="1"/>
  <c r="S133" i="1" a="1"/>
  <c r="S133" i="1"/>
  <c r="R133" i="1" a="1"/>
  <c r="R133" i="1"/>
  <c r="N133" i="1" a="1"/>
  <c r="N133" i="1"/>
  <c r="M133" i="1" a="1"/>
  <c r="M133" i="1"/>
  <c r="L133" i="1" a="1"/>
  <c r="L133" i="1"/>
  <c r="T132" i="1" a="1"/>
  <c r="T132" i="1"/>
  <c r="S132" i="1" a="1"/>
  <c r="S132" i="1"/>
  <c r="R132" i="1" a="1"/>
  <c r="R132" i="1"/>
  <c r="N132" i="1" a="1"/>
  <c r="N132" i="1"/>
  <c r="M132" i="1" a="1"/>
  <c r="M132" i="1"/>
  <c r="L132" i="1" a="1"/>
  <c r="L132" i="1"/>
  <c r="T131" i="1" a="1"/>
  <c r="T131" i="1"/>
  <c r="S131" i="1" a="1"/>
  <c r="S131" i="1"/>
  <c r="R131" i="1" a="1"/>
  <c r="R131" i="1"/>
  <c r="N131" i="1" a="1"/>
  <c r="N131" i="1"/>
  <c r="M131" i="1" a="1"/>
  <c r="M131" i="1"/>
  <c r="L131" i="1" a="1"/>
  <c r="L131" i="1"/>
  <c r="T130" i="1" a="1"/>
  <c r="T130" i="1"/>
  <c r="S130" i="1" a="1"/>
  <c r="S130" i="1"/>
  <c r="R130" i="1" a="1"/>
  <c r="R130" i="1"/>
  <c r="N130" i="1" a="1"/>
  <c r="N130" i="1"/>
  <c r="M130" i="1" a="1"/>
  <c r="M130" i="1"/>
  <c r="L130" i="1" a="1"/>
  <c r="L130" i="1"/>
  <c r="T129" i="1" a="1"/>
  <c r="T129" i="1"/>
  <c r="S129" i="1" a="1"/>
  <c r="S129" i="1"/>
  <c r="R129" i="1" a="1"/>
  <c r="R129" i="1"/>
  <c r="N129" i="1" a="1"/>
  <c r="N129" i="1"/>
  <c r="M129" i="1" a="1"/>
  <c r="M129" i="1"/>
  <c r="L129" i="1" a="1"/>
  <c r="L129" i="1"/>
  <c r="T128" i="1" a="1"/>
  <c r="T128" i="1"/>
  <c r="S128" i="1" a="1"/>
  <c r="S128" i="1"/>
  <c r="R128" i="1" a="1"/>
  <c r="R128" i="1"/>
  <c r="N128" i="1" a="1"/>
  <c r="N128" i="1"/>
  <c r="M128" i="1" a="1"/>
  <c r="M128" i="1"/>
  <c r="L128" i="1" a="1"/>
  <c r="L128" i="1"/>
  <c r="T127" i="1" a="1"/>
  <c r="T127" i="1"/>
  <c r="S127" i="1" a="1"/>
  <c r="S127" i="1"/>
  <c r="R127" i="1" a="1"/>
  <c r="R127" i="1"/>
  <c r="N127" i="1" a="1"/>
  <c r="N127" i="1"/>
  <c r="M127" i="1" a="1"/>
  <c r="M127" i="1"/>
  <c r="L127" i="1" a="1"/>
  <c r="L127" i="1"/>
  <c r="T126" i="1" a="1"/>
  <c r="T126" i="1"/>
  <c r="S126" i="1" a="1"/>
  <c r="S126" i="1"/>
  <c r="R126" i="1" a="1"/>
  <c r="R126" i="1"/>
  <c r="N126" i="1" a="1"/>
  <c r="N126" i="1"/>
  <c r="M126" i="1" a="1"/>
  <c r="M126" i="1"/>
  <c r="L126" i="1" a="1"/>
  <c r="L126" i="1"/>
  <c r="T125" i="1" a="1"/>
  <c r="T125" i="1"/>
  <c r="S125" i="1" a="1"/>
  <c r="S125" i="1"/>
  <c r="R125" i="1" a="1"/>
  <c r="R125" i="1"/>
  <c r="N125" i="1" a="1"/>
  <c r="N125" i="1"/>
  <c r="M125" i="1" a="1"/>
  <c r="M125" i="1"/>
  <c r="L125" i="1" a="1"/>
  <c r="L125" i="1"/>
  <c r="T124" i="1" a="1"/>
  <c r="T124" i="1"/>
  <c r="S124" i="1" a="1"/>
  <c r="S124" i="1"/>
  <c r="R124" i="1" a="1"/>
  <c r="R124" i="1"/>
  <c r="N124" i="1" a="1"/>
  <c r="N124" i="1"/>
  <c r="M124" i="1" a="1"/>
  <c r="M124" i="1"/>
  <c r="L124" i="1" a="1"/>
  <c r="L124" i="1"/>
  <c r="T123" i="1" a="1"/>
  <c r="T123" i="1"/>
  <c r="S123" i="1" a="1"/>
  <c r="S123" i="1"/>
  <c r="R123" i="1" a="1"/>
  <c r="R123" i="1"/>
  <c r="N123" i="1" a="1"/>
  <c r="N123" i="1"/>
  <c r="M123" i="1" a="1"/>
  <c r="M123" i="1"/>
  <c r="L123" i="1" a="1"/>
  <c r="L123" i="1"/>
  <c r="T122" i="1" a="1"/>
  <c r="T122" i="1"/>
  <c r="S122" i="1" a="1"/>
  <c r="S122" i="1"/>
  <c r="R122" i="1" a="1"/>
  <c r="R122" i="1"/>
  <c r="N122" i="1" a="1"/>
  <c r="N122" i="1"/>
  <c r="M122" i="1" a="1"/>
  <c r="M122" i="1"/>
  <c r="L122" i="1" a="1"/>
  <c r="L122" i="1"/>
  <c r="T121" i="1" a="1"/>
  <c r="T121" i="1"/>
  <c r="S121" i="1" a="1"/>
  <c r="S121" i="1"/>
  <c r="R121" i="1" a="1"/>
  <c r="R121" i="1"/>
  <c r="N121" i="1" a="1"/>
  <c r="N121" i="1"/>
  <c r="M121" i="1" a="1"/>
  <c r="M121" i="1"/>
  <c r="L121" i="1" a="1"/>
  <c r="L121" i="1"/>
  <c r="T120" i="1" a="1"/>
  <c r="T120" i="1"/>
  <c r="S120" i="1" a="1"/>
  <c r="S120" i="1"/>
  <c r="R120" i="1" a="1"/>
  <c r="R120" i="1"/>
  <c r="N120" i="1" a="1"/>
  <c r="N120" i="1"/>
  <c r="M120" i="1" a="1"/>
  <c r="M120" i="1"/>
  <c r="L120" i="1" a="1"/>
  <c r="L120" i="1"/>
  <c r="T119" i="1" a="1"/>
  <c r="T119" i="1"/>
  <c r="S119" i="1" a="1"/>
  <c r="S119" i="1"/>
  <c r="R119" i="1" a="1"/>
  <c r="R119" i="1"/>
  <c r="N119" i="1" a="1"/>
  <c r="N119" i="1"/>
  <c r="M119" i="1" a="1"/>
  <c r="M119" i="1"/>
  <c r="L119" i="1" a="1"/>
  <c r="L119" i="1"/>
  <c r="T118" i="1" a="1"/>
  <c r="T118" i="1"/>
  <c r="S118" i="1" a="1"/>
  <c r="S118" i="1"/>
  <c r="R118" i="1" a="1"/>
  <c r="R118" i="1"/>
  <c r="N118" i="1" a="1"/>
  <c r="N118" i="1"/>
  <c r="M118" i="1" a="1"/>
  <c r="M118" i="1"/>
  <c r="L118" i="1" a="1"/>
  <c r="L118" i="1"/>
  <c r="T117" i="1" a="1"/>
  <c r="T117" i="1"/>
  <c r="S117" i="1" a="1"/>
  <c r="S117" i="1"/>
  <c r="R117" i="1" a="1"/>
  <c r="R117" i="1"/>
  <c r="N117" i="1" a="1"/>
  <c r="N117" i="1"/>
  <c r="M117" i="1" a="1"/>
  <c r="M117" i="1"/>
  <c r="L117" i="1" a="1"/>
  <c r="L117" i="1"/>
  <c r="T116" i="1" a="1"/>
  <c r="T116" i="1"/>
  <c r="S116" i="1" a="1"/>
  <c r="S116" i="1"/>
  <c r="R116" i="1" a="1"/>
  <c r="R116" i="1"/>
  <c r="N116" i="1" a="1"/>
  <c r="N116" i="1"/>
  <c r="M116" i="1" a="1"/>
  <c r="M116" i="1"/>
  <c r="L116" i="1" a="1"/>
  <c r="L116" i="1"/>
  <c r="T115" i="1" a="1"/>
  <c r="T115" i="1"/>
  <c r="S115" i="1" a="1"/>
  <c r="S115" i="1"/>
  <c r="R115" i="1" a="1"/>
  <c r="R115" i="1"/>
  <c r="N115" i="1" a="1"/>
  <c r="N115" i="1"/>
  <c r="M115" i="1" a="1"/>
  <c r="M115" i="1"/>
  <c r="L115" i="1" a="1"/>
  <c r="L115" i="1"/>
  <c r="T114" i="1" a="1"/>
  <c r="T114" i="1"/>
  <c r="S114" i="1" a="1"/>
  <c r="S114" i="1"/>
  <c r="R114" i="1" a="1"/>
  <c r="R114" i="1"/>
  <c r="N114" i="1" a="1"/>
  <c r="N114" i="1"/>
  <c r="M114" i="1" a="1"/>
  <c r="M114" i="1"/>
  <c r="L114" i="1" a="1"/>
  <c r="L114" i="1"/>
  <c r="T113" i="1" a="1"/>
  <c r="T113" i="1"/>
  <c r="S113" i="1" a="1"/>
  <c r="S113" i="1"/>
  <c r="R113" i="1" a="1"/>
  <c r="R113" i="1"/>
  <c r="N113" i="1" a="1"/>
  <c r="N113" i="1"/>
  <c r="M113" i="1" a="1"/>
  <c r="M113" i="1"/>
  <c r="L113" i="1" a="1"/>
  <c r="L113" i="1"/>
  <c r="T112" i="1" a="1"/>
  <c r="T112" i="1"/>
  <c r="S112" i="1" a="1"/>
  <c r="S112" i="1"/>
  <c r="R112" i="1" a="1"/>
  <c r="R112" i="1"/>
  <c r="N112" i="1" a="1"/>
  <c r="N112" i="1"/>
  <c r="M112" i="1" a="1"/>
  <c r="M112" i="1"/>
  <c r="L112" i="1" a="1"/>
  <c r="L112" i="1"/>
  <c r="T111" i="1" a="1"/>
  <c r="T111" i="1"/>
  <c r="S111" i="1" a="1"/>
  <c r="S111" i="1"/>
  <c r="R111" i="1" a="1"/>
  <c r="R111" i="1"/>
  <c r="N111" i="1" a="1"/>
  <c r="N111" i="1"/>
  <c r="M111" i="1" a="1"/>
  <c r="M111" i="1"/>
  <c r="L111" i="1" a="1"/>
  <c r="L111" i="1"/>
  <c r="T110" i="1" a="1"/>
  <c r="T110" i="1"/>
  <c r="S110" i="1" a="1"/>
  <c r="S110" i="1"/>
  <c r="R110" i="1" a="1"/>
  <c r="R110" i="1"/>
  <c r="N110" i="1" a="1"/>
  <c r="N110" i="1"/>
  <c r="M110" i="1" a="1"/>
  <c r="M110" i="1"/>
  <c r="L110" i="1" a="1"/>
  <c r="L110" i="1"/>
  <c r="T109" i="1" a="1"/>
  <c r="T109" i="1"/>
  <c r="S109" i="1" a="1"/>
  <c r="S109" i="1"/>
  <c r="R109" i="1" a="1"/>
  <c r="R109" i="1"/>
  <c r="N109" i="1" a="1"/>
  <c r="N109" i="1"/>
  <c r="M109" i="1" a="1"/>
  <c r="M109" i="1"/>
  <c r="L109" i="1" a="1"/>
  <c r="L109" i="1"/>
  <c r="T108" i="1" a="1"/>
  <c r="T108" i="1"/>
  <c r="S108" i="1" a="1"/>
  <c r="S108" i="1"/>
  <c r="R108" i="1" a="1"/>
  <c r="R108" i="1"/>
  <c r="N108" i="1" a="1"/>
  <c r="N108" i="1"/>
  <c r="M108" i="1" a="1"/>
  <c r="M108" i="1"/>
  <c r="L108" i="1" a="1"/>
  <c r="L108" i="1"/>
  <c r="T107" i="1" a="1"/>
  <c r="T107" i="1"/>
  <c r="S107" i="1" a="1"/>
  <c r="S107" i="1"/>
  <c r="R107" i="1" a="1"/>
  <c r="R107" i="1"/>
  <c r="N107" i="1" a="1"/>
  <c r="N107" i="1"/>
  <c r="M107" i="1" a="1"/>
  <c r="M107" i="1"/>
  <c r="L107" i="1" a="1"/>
  <c r="L107" i="1"/>
  <c r="T106" i="1" a="1"/>
  <c r="T106" i="1"/>
  <c r="S106" i="1" a="1"/>
  <c r="S106" i="1"/>
  <c r="R106" i="1" a="1"/>
  <c r="R106" i="1"/>
  <c r="N106" i="1" a="1"/>
  <c r="N106" i="1"/>
  <c r="M106" i="1" a="1"/>
  <c r="M106" i="1"/>
  <c r="L106" i="1" a="1"/>
  <c r="L106" i="1"/>
  <c r="T105" i="1" a="1"/>
  <c r="T105" i="1"/>
  <c r="S105" i="1" a="1"/>
  <c r="S105" i="1"/>
  <c r="R105" i="1" a="1"/>
  <c r="R105" i="1"/>
  <c r="N105" i="1" a="1"/>
  <c r="N105" i="1"/>
  <c r="M105" i="1" a="1"/>
  <c r="M105" i="1"/>
  <c r="L105" i="1" a="1"/>
  <c r="L105" i="1"/>
  <c r="T104" i="1" a="1"/>
  <c r="T104" i="1"/>
  <c r="S104" i="1" a="1"/>
  <c r="S104" i="1"/>
  <c r="R104" i="1" a="1"/>
  <c r="R104" i="1"/>
  <c r="N104" i="1" a="1"/>
  <c r="N104" i="1"/>
  <c r="M104" i="1" a="1"/>
  <c r="M104" i="1"/>
  <c r="L104" i="1" a="1"/>
  <c r="L104" i="1"/>
  <c r="T103" i="1" a="1"/>
  <c r="T103" i="1"/>
  <c r="S103" i="1" a="1"/>
  <c r="S103" i="1"/>
  <c r="R103" i="1" a="1"/>
  <c r="R103" i="1"/>
  <c r="N103" i="1" a="1"/>
  <c r="N103" i="1"/>
  <c r="M103" i="1" a="1"/>
  <c r="M103" i="1"/>
  <c r="L103" i="1" a="1"/>
  <c r="L103" i="1"/>
  <c r="T102" i="1" a="1"/>
  <c r="T102" i="1"/>
  <c r="S102" i="1" a="1"/>
  <c r="S102" i="1"/>
  <c r="R102" i="1" a="1"/>
  <c r="R102" i="1"/>
  <c r="N102" i="1" a="1"/>
  <c r="N102" i="1"/>
  <c r="M102" i="1" a="1"/>
  <c r="M102" i="1"/>
  <c r="L102" i="1" a="1"/>
  <c r="L102" i="1"/>
  <c r="T101" i="1" a="1"/>
  <c r="T101" i="1"/>
  <c r="S101" i="1" a="1"/>
  <c r="S101" i="1"/>
  <c r="R101" i="1" a="1"/>
  <c r="R101" i="1"/>
  <c r="N101" i="1" a="1"/>
  <c r="N101" i="1"/>
  <c r="M101" i="1" a="1"/>
  <c r="M101" i="1"/>
  <c r="L101" i="1" a="1"/>
  <c r="L101" i="1"/>
  <c r="T100" i="1" a="1"/>
  <c r="T100" i="1"/>
  <c r="S100" i="1" a="1"/>
  <c r="S100" i="1"/>
  <c r="R100" i="1" a="1"/>
  <c r="R100" i="1"/>
  <c r="N100" i="1" a="1"/>
  <c r="N100" i="1"/>
  <c r="M100" i="1" a="1"/>
  <c r="M100" i="1"/>
  <c r="L100" i="1" a="1"/>
  <c r="L100" i="1"/>
  <c r="T99" i="1" a="1"/>
  <c r="T99" i="1"/>
  <c r="S99" i="1" a="1"/>
  <c r="S99" i="1"/>
  <c r="R99" i="1" a="1"/>
  <c r="R99" i="1"/>
  <c r="N99" i="1" a="1"/>
  <c r="N99" i="1"/>
  <c r="M99" i="1" a="1"/>
  <c r="M99" i="1"/>
  <c r="L99" i="1" a="1"/>
  <c r="L99" i="1"/>
  <c r="T98" i="1" a="1"/>
  <c r="T98" i="1"/>
  <c r="S98" i="1" a="1"/>
  <c r="S98" i="1"/>
  <c r="R98" i="1" a="1"/>
  <c r="R98" i="1"/>
  <c r="N98" i="1" a="1"/>
  <c r="N98" i="1"/>
  <c r="M98" i="1" a="1"/>
  <c r="M98" i="1"/>
  <c r="L98" i="1" a="1"/>
  <c r="L98" i="1"/>
  <c r="T97" i="1" a="1"/>
  <c r="T97" i="1"/>
  <c r="S97" i="1" a="1"/>
  <c r="S97" i="1"/>
  <c r="R97" i="1" a="1"/>
  <c r="R97" i="1"/>
  <c r="N97" i="1" a="1"/>
  <c r="N97" i="1"/>
  <c r="M97" i="1" a="1"/>
  <c r="M97" i="1"/>
  <c r="L97" i="1" a="1"/>
  <c r="L97" i="1"/>
  <c r="T96" i="1" a="1"/>
  <c r="T96" i="1"/>
  <c r="S96" i="1" a="1"/>
  <c r="S96" i="1"/>
  <c r="R96" i="1" a="1"/>
  <c r="R96" i="1"/>
  <c r="N96" i="1" a="1"/>
  <c r="N96" i="1"/>
  <c r="M96" i="1" a="1"/>
  <c r="M96" i="1"/>
  <c r="L96" i="1" a="1"/>
  <c r="L96" i="1"/>
  <c r="T95" i="1" a="1"/>
  <c r="T95" i="1"/>
  <c r="S95" i="1" a="1"/>
  <c r="S95" i="1"/>
  <c r="R95" i="1" a="1"/>
  <c r="R95" i="1"/>
  <c r="N95" i="1" a="1"/>
  <c r="N95" i="1"/>
  <c r="M95" i="1" a="1"/>
  <c r="M95" i="1"/>
  <c r="L95" i="1" a="1"/>
  <c r="L95" i="1"/>
  <c r="T94" i="1" a="1"/>
  <c r="T94" i="1"/>
  <c r="S94" i="1" a="1"/>
  <c r="S94" i="1"/>
  <c r="R94" i="1" a="1"/>
  <c r="R94" i="1"/>
  <c r="N94" i="1" a="1"/>
  <c r="N94" i="1"/>
  <c r="M94" i="1" a="1"/>
  <c r="M94" i="1"/>
  <c r="L94" i="1" a="1"/>
  <c r="L94" i="1"/>
  <c r="T93" i="1" a="1"/>
  <c r="T93" i="1"/>
  <c r="S93" i="1" a="1"/>
  <c r="S93" i="1"/>
  <c r="R93" i="1" a="1"/>
  <c r="R93" i="1"/>
  <c r="N93" i="1" a="1"/>
  <c r="N93" i="1"/>
  <c r="M93" i="1" a="1"/>
  <c r="M93" i="1"/>
  <c r="L93" i="1" a="1"/>
  <c r="L93" i="1"/>
  <c r="T92" i="1" a="1"/>
  <c r="T92" i="1"/>
  <c r="S92" i="1" a="1"/>
  <c r="S92" i="1"/>
  <c r="R92" i="1" a="1"/>
  <c r="R92" i="1"/>
  <c r="N92" i="1" a="1"/>
  <c r="N92" i="1"/>
  <c r="M92" i="1" a="1"/>
  <c r="M92" i="1"/>
  <c r="L92" i="1" a="1"/>
  <c r="L92" i="1"/>
  <c r="T91" i="1" a="1"/>
  <c r="T91" i="1"/>
  <c r="S91" i="1" a="1"/>
  <c r="S91" i="1"/>
  <c r="R91" i="1" a="1"/>
  <c r="R91" i="1"/>
  <c r="N91" i="1" a="1"/>
  <c r="N91" i="1"/>
  <c r="M91" i="1" a="1"/>
  <c r="M91" i="1"/>
  <c r="L91" i="1" a="1"/>
  <c r="L91" i="1"/>
  <c r="T90" i="1" a="1"/>
  <c r="T90" i="1"/>
  <c r="S90" i="1" a="1"/>
  <c r="S90" i="1"/>
  <c r="R90" i="1" a="1"/>
  <c r="R90" i="1"/>
  <c r="N90" i="1" a="1"/>
  <c r="N90" i="1"/>
  <c r="M90" i="1" a="1"/>
  <c r="M90" i="1"/>
  <c r="L90" i="1" a="1"/>
  <c r="L90" i="1"/>
  <c r="T89" i="1" a="1"/>
  <c r="T89" i="1"/>
  <c r="S89" i="1" a="1"/>
  <c r="S89" i="1"/>
  <c r="R89" i="1" a="1"/>
  <c r="R89" i="1"/>
  <c r="N89" i="1" a="1"/>
  <c r="N89" i="1"/>
  <c r="M89" i="1" a="1"/>
  <c r="M89" i="1"/>
  <c r="L89" i="1" a="1"/>
  <c r="L89" i="1"/>
  <c r="T88" i="1" a="1"/>
  <c r="T88" i="1"/>
  <c r="S88" i="1" a="1"/>
  <c r="S88" i="1"/>
  <c r="R88" i="1" a="1"/>
  <c r="R88" i="1"/>
  <c r="N88" i="1" a="1"/>
  <c r="N88" i="1"/>
  <c r="M88" i="1" a="1"/>
  <c r="M88" i="1"/>
  <c r="L88" i="1" a="1"/>
  <c r="L88" i="1"/>
  <c r="T87" i="1" a="1"/>
  <c r="T87" i="1"/>
  <c r="S87" i="1" a="1"/>
  <c r="S87" i="1"/>
  <c r="R87" i="1" a="1"/>
  <c r="R87" i="1"/>
  <c r="N87" i="1" a="1"/>
  <c r="N87" i="1"/>
  <c r="M87" i="1" a="1"/>
  <c r="M87" i="1"/>
  <c r="L87" i="1" a="1"/>
  <c r="L87" i="1"/>
  <c r="T86" i="1" a="1"/>
  <c r="T86" i="1"/>
  <c r="S86" i="1" a="1"/>
  <c r="S86" i="1"/>
  <c r="R86" i="1" a="1"/>
  <c r="R86" i="1"/>
  <c r="N86" i="1" a="1"/>
  <c r="N86" i="1"/>
  <c r="M86" i="1" a="1"/>
  <c r="M86" i="1"/>
  <c r="L86" i="1" a="1"/>
  <c r="L86" i="1"/>
  <c r="T85" i="1" a="1"/>
  <c r="T85" i="1"/>
  <c r="S85" i="1" a="1"/>
  <c r="S85" i="1"/>
  <c r="R85" i="1" a="1"/>
  <c r="R85" i="1"/>
  <c r="N85" i="1" a="1"/>
  <c r="N85" i="1"/>
  <c r="M85" i="1" a="1"/>
  <c r="M85" i="1"/>
  <c r="L85" i="1" a="1"/>
  <c r="L85" i="1"/>
  <c r="T84" i="1" a="1"/>
  <c r="T84" i="1"/>
  <c r="S84" i="1" a="1"/>
  <c r="S84" i="1"/>
  <c r="R84" i="1" a="1"/>
  <c r="R84" i="1"/>
  <c r="N84" i="1" a="1"/>
  <c r="N84" i="1"/>
  <c r="M84" i="1" a="1"/>
  <c r="M84" i="1"/>
  <c r="L84" i="1" a="1"/>
  <c r="L84" i="1"/>
  <c r="T83" i="1" a="1"/>
  <c r="T83" i="1"/>
  <c r="S83" i="1" a="1"/>
  <c r="S83" i="1"/>
  <c r="R83" i="1" a="1"/>
  <c r="R83" i="1"/>
  <c r="N83" i="1" a="1"/>
  <c r="N83" i="1"/>
  <c r="M83" i="1" a="1"/>
  <c r="M83" i="1"/>
  <c r="L83" i="1" a="1"/>
  <c r="L83" i="1"/>
  <c r="T82" i="1" a="1"/>
  <c r="T82" i="1"/>
  <c r="S82" i="1" a="1"/>
  <c r="S82" i="1"/>
  <c r="R82" i="1" a="1"/>
  <c r="R82" i="1"/>
  <c r="N82" i="1" a="1"/>
  <c r="N82" i="1"/>
  <c r="M82" i="1" a="1"/>
  <c r="M82" i="1"/>
  <c r="L82" i="1" a="1"/>
  <c r="L82" i="1"/>
  <c r="T81" i="1" a="1"/>
  <c r="T81" i="1"/>
  <c r="S81" i="1" a="1"/>
  <c r="S81" i="1"/>
  <c r="R81" i="1" a="1"/>
  <c r="R81" i="1"/>
  <c r="N81" i="1" a="1"/>
  <c r="N81" i="1"/>
  <c r="M81" i="1" a="1"/>
  <c r="M81" i="1"/>
  <c r="L81" i="1" a="1"/>
  <c r="L81" i="1"/>
  <c r="T80" i="1" a="1"/>
  <c r="T80" i="1"/>
  <c r="S80" i="1" a="1"/>
  <c r="S80" i="1"/>
  <c r="R80" i="1" a="1"/>
  <c r="R80" i="1"/>
  <c r="N80" i="1" a="1"/>
  <c r="N80" i="1"/>
  <c r="M80" i="1" a="1"/>
  <c r="M80" i="1"/>
  <c r="L80" i="1" a="1"/>
  <c r="L80" i="1"/>
  <c r="H78" i="1"/>
  <c r="M78" i="1"/>
  <c r="N78" i="1"/>
  <c r="I78" i="1"/>
  <c r="J78" i="1"/>
  <c r="H77" i="1"/>
  <c r="M77" i="1"/>
  <c r="N77" i="1"/>
  <c r="I77" i="1"/>
  <c r="J77" i="1"/>
  <c r="H76" i="1"/>
  <c r="M76" i="1"/>
  <c r="N76" i="1"/>
  <c r="I76" i="1"/>
  <c r="J76" i="1"/>
  <c r="H75" i="1"/>
  <c r="M75" i="1"/>
  <c r="N75" i="1"/>
  <c r="I75" i="1"/>
  <c r="J75" i="1"/>
  <c r="H74" i="1"/>
  <c r="M74" i="1"/>
  <c r="N74" i="1"/>
  <c r="I74" i="1"/>
  <c r="J74" i="1"/>
  <c r="H73" i="1"/>
  <c r="M73" i="1"/>
  <c r="N73" i="1"/>
  <c r="I73" i="1"/>
  <c r="J73" i="1"/>
  <c r="H72" i="1"/>
  <c r="M72" i="1"/>
  <c r="N72" i="1"/>
  <c r="I72" i="1"/>
  <c r="J72" i="1"/>
  <c r="H71" i="1"/>
  <c r="M71" i="1"/>
  <c r="N71" i="1"/>
  <c r="I71" i="1"/>
  <c r="J71" i="1"/>
  <c r="H70" i="1"/>
  <c r="M70" i="1"/>
  <c r="N70" i="1"/>
  <c r="I70" i="1"/>
  <c r="J70" i="1"/>
  <c r="H69" i="1"/>
  <c r="I69" i="1"/>
  <c r="J69" i="1"/>
  <c r="H68" i="1"/>
  <c r="M68" i="1"/>
  <c r="N68" i="1"/>
  <c r="I68" i="1"/>
  <c r="J68" i="1"/>
  <c r="H67" i="1"/>
  <c r="M67" i="1"/>
  <c r="N67" i="1"/>
  <c r="I67" i="1"/>
  <c r="J67" i="1"/>
  <c r="H66" i="1"/>
  <c r="M66" i="1"/>
  <c r="N66" i="1"/>
  <c r="I66" i="1"/>
  <c r="J66" i="1"/>
  <c r="H65" i="1"/>
  <c r="M65" i="1"/>
  <c r="N65" i="1"/>
  <c r="I65" i="1"/>
  <c r="J65" i="1"/>
  <c r="H64" i="1"/>
  <c r="M64" i="1"/>
  <c r="N64" i="1"/>
  <c r="I64" i="1"/>
  <c r="J64" i="1"/>
  <c r="H63" i="1"/>
  <c r="M63" i="1"/>
  <c r="N63" i="1"/>
  <c r="I63" i="1"/>
  <c r="J63" i="1"/>
  <c r="H62" i="1"/>
  <c r="M62" i="1"/>
  <c r="N62" i="1"/>
  <c r="I62" i="1"/>
  <c r="J62" i="1"/>
  <c r="H61" i="1"/>
  <c r="M61" i="1"/>
  <c r="N61" i="1"/>
  <c r="I61" i="1"/>
  <c r="J61" i="1"/>
  <c r="H60" i="1"/>
  <c r="M60" i="1"/>
  <c r="N60" i="1"/>
  <c r="I60" i="1"/>
  <c r="J60" i="1"/>
  <c r="H59" i="1"/>
  <c r="M59" i="1"/>
  <c r="N59" i="1"/>
  <c r="I59" i="1"/>
  <c r="J59" i="1"/>
  <c r="H58" i="1"/>
  <c r="M58" i="1"/>
  <c r="N58" i="1"/>
  <c r="I58" i="1"/>
  <c r="J58" i="1"/>
  <c r="H57" i="1"/>
  <c r="I57" i="1"/>
  <c r="J57" i="1"/>
  <c r="H56" i="1"/>
  <c r="M56" i="1"/>
  <c r="N56" i="1"/>
  <c r="I56" i="1"/>
  <c r="J56" i="1"/>
  <c r="H55" i="1"/>
  <c r="M55" i="1"/>
  <c r="N55" i="1"/>
  <c r="I55" i="1"/>
  <c r="J55" i="1"/>
  <c r="H54" i="1"/>
  <c r="M54" i="1"/>
  <c r="N54" i="1"/>
  <c r="I54" i="1"/>
  <c r="J54" i="1"/>
  <c r="H53" i="1"/>
  <c r="M53" i="1"/>
  <c r="N53" i="1"/>
  <c r="I53" i="1"/>
  <c r="J53" i="1"/>
  <c r="H52" i="1"/>
  <c r="M52" i="1"/>
  <c r="N52" i="1"/>
  <c r="I52" i="1"/>
  <c r="J52" i="1"/>
  <c r="H51" i="1"/>
  <c r="M51" i="1"/>
  <c r="N51" i="1"/>
  <c r="I51" i="1"/>
  <c r="J51" i="1"/>
  <c r="H50" i="1"/>
  <c r="M50" i="1"/>
  <c r="N50" i="1"/>
  <c r="I50" i="1"/>
  <c r="J50" i="1"/>
  <c r="H49" i="1"/>
  <c r="I49" i="1"/>
  <c r="J49" i="1"/>
  <c r="H48" i="1"/>
  <c r="I48" i="1"/>
  <c r="J48" i="1"/>
  <c r="H47" i="1"/>
  <c r="I47" i="1"/>
  <c r="J47" i="1"/>
  <c r="H46" i="1"/>
  <c r="M46" i="1"/>
  <c r="N46" i="1"/>
  <c r="I46" i="1"/>
  <c r="J46" i="1"/>
  <c r="H45" i="1"/>
  <c r="M45" i="1"/>
  <c r="N45" i="1"/>
  <c r="I45" i="1"/>
  <c r="J45" i="1"/>
  <c r="H44" i="1"/>
  <c r="M44" i="1"/>
  <c r="N44" i="1"/>
  <c r="I44" i="1"/>
  <c r="J44" i="1"/>
  <c r="H43" i="1"/>
  <c r="S43" i="1"/>
  <c r="T43" i="1"/>
  <c r="M43" i="1"/>
  <c r="N43" i="1"/>
  <c r="I43" i="1"/>
  <c r="J43" i="1"/>
  <c r="H42" i="1"/>
  <c r="S42" i="1"/>
  <c r="T42" i="1"/>
  <c r="M42" i="1"/>
  <c r="N42" i="1"/>
  <c r="I42" i="1"/>
  <c r="J42" i="1"/>
  <c r="H41" i="1"/>
  <c r="S41" i="1"/>
  <c r="T41" i="1"/>
  <c r="M41" i="1"/>
  <c r="N41" i="1"/>
  <c r="I41" i="1"/>
  <c r="J41" i="1"/>
  <c r="H40" i="1"/>
  <c r="M40" i="1"/>
  <c r="N40" i="1"/>
  <c r="I40" i="1"/>
  <c r="J40" i="1"/>
  <c r="H39" i="1"/>
  <c r="I39" i="1"/>
  <c r="J39" i="1"/>
  <c r="H38" i="1"/>
  <c r="S38" i="1"/>
  <c r="T38" i="1"/>
  <c r="M38" i="1"/>
  <c r="N38" i="1"/>
  <c r="I38" i="1"/>
  <c r="J38" i="1"/>
  <c r="H37" i="1"/>
  <c r="M37" i="1"/>
  <c r="N37" i="1"/>
  <c r="I37" i="1"/>
  <c r="J37" i="1"/>
  <c r="H36" i="1"/>
  <c r="S36" i="1"/>
  <c r="T36" i="1"/>
  <c r="M36" i="1"/>
  <c r="N36" i="1"/>
  <c r="I36" i="1"/>
  <c r="J36" i="1"/>
  <c r="H35" i="1"/>
  <c r="I35" i="1"/>
  <c r="J35" i="1"/>
  <c r="H34" i="1"/>
  <c r="M34" i="1"/>
  <c r="N34" i="1"/>
  <c r="I34" i="1"/>
  <c r="J34" i="1"/>
  <c r="H33" i="1"/>
  <c r="M33" i="1"/>
  <c r="N33" i="1"/>
  <c r="I33" i="1"/>
  <c r="J33" i="1"/>
  <c r="H32" i="1"/>
  <c r="I32" i="1"/>
  <c r="J32" i="1"/>
  <c r="H31" i="1"/>
  <c r="M31" i="1"/>
  <c r="N31" i="1"/>
  <c r="I31" i="1"/>
  <c r="J31" i="1"/>
  <c r="H30" i="1"/>
  <c r="S30" i="1"/>
  <c r="T30" i="1"/>
  <c r="M30" i="1"/>
  <c r="N30" i="1"/>
  <c r="I30" i="1"/>
  <c r="J30" i="1"/>
  <c r="H29" i="1"/>
  <c r="M29" i="1"/>
  <c r="N29" i="1"/>
  <c r="I29" i="1"/>
  <c r="J29" i="1"/>
  <c r="H28" i="1"/>
  <c r="I28" i="1"/>
  <c r="J28" i="1"/>
  <c r="H27" i="1"/>
  <c r="M27" i="1"/>
  <c r="N27" i="1"/>
  <c r="I27" i="1"/>
  <c r="J27" i="1"/>
  <c r="H26" i="1"/>
  <c r="M26" i="1"/>
  <c r="N26" i="1"/>
  <c r="I26" i="1"/>
  <c r="J26" i="1"/>
  <c r="H25" i="1"/>
  <c r="S25" i="1"/>
  <c r="T25" i="1"/>
  <c r="M25" i="1"/>
  <c r="N25" i="1"/>
  <c r="I25" i="1"/>
  <c r="J25" i="1"/>
  <c r="H24" i="1"/>
  <c r="I24" i="1"/>
  <c r="J24" i="1"/>
  <c r="H23" i="1"/>
  <c r="S23" i="1"/>
  <c r="T23" i="1"/>
  <c r="M23" i="1"/>
  <c r="N23" i="1"/>
  <c r="I23" i="1"/>
  <c r="J23" i="1"/>
  <c r="H22" i="1"/>
  <c r="S22" i="1"/>
  <c r="T22" i="1"/>
  <c r="M22" i="1"/>
  <c r="N22" i="1"/>
  <c r="I22" i="1"/>
  <c r="J22" i="1"/>
  <c r="H21" i="1"/>
  <c r="M21" i="1"/>
  <c r="N21" i="1"/>
  <c r="I21" i="1"/>
  <c r="J21" i="1"/>
  <c r="H20" i="1"/>
  <c r="S20" i="1"/>
  <c r="T20" i="1"/>
  <c r="M20" i="1"/>
  <c r="N20" i="1"/>
  <c r="I20" i="1"/>
  <c r="J20" i="1"/>
  <c r="H19" i="1"/>
  <c r="M19" i="1"/>
  <c r="N19" i="1"/>
  <c r="I19" i="1"/>
  <c r="J19" i="1"/>
  <c r="H18" i="1"/>
  <c r="S18" i="1"/>
  <c r="T18" i="1"/>
  <c r="M18" i="1"/>
  <c r="N18" i="1"/>
  <c r="I18" i="1"/>
  <c r="J18" i="1"/>
  <c r="H17" i="1"/>
  <c r="M17" i="1"/>
  <c r="N17" i="1"/>
  <c r="I17" i="1"/>
  <c r="J17" i="1"/>
  <c r="H16" i="1"/>
  <c r="S16" i="1"/>
  <c r="T16" i="1"/>
  <c r="M16" i="1"/>
  <c r="N16" i="1"/>
  <c r="I16" i="1"/>
  <c r="J16" i="1"/>
  <c r="H15" i="1"/>
  <c r="I15" i="1"/>
  <c r="J15" i="1"/>
  <c r="H14" i="1"/>
  <c r="M14" i="1"/>
  <c r="N14" i="1"/>
  <c r="I14" i="1"/>
  <c r="J14" i="1"/>
  <c r="H13" i="1"/>
  <c r="M13" i="1"/>
  <c r="N13" i="1"/>
  <c r="I13" i="1"/>
  <c r="J13" i="1"/>
  <c r="H12" i="1"/>
  <c r="M12" i="1"/>
  <c r="N12" i="1"/>
  <c r="I12" i="1"/>
  <c r="J12" i="1"/>
  <c r="H11" i="1"/>
  <c r="S11" i="1"/>
  <c r="T11" i="1"/>
  <c r="M11" i="1"/>
  <c r="N11" i="1"/>
  <c r="I11" i="1"/>
  <c r="J11" i="1"/>
  <c r="H10" i="1"/>
  <c r="S10" i="1"/>
  <c r="T10" i="1"/>
  <c r="M10" i="1"/>
  <c r="N10" i="1"/>
  <c r="I10" i="1"/>
  <c r="J10" i="1"/>
  <c r="H9" i="1"/>
  <c r="I9" i="1"/>
  <c r="J9" i="1"/>
  <c r="H8" i="1"/>
  <c r="S8" i="1"/>
  <c r="T8" i="1"/>
  <c r="M8" i="1"/>
  <c r="N8" i="1"/>
  <c r="I8" i="1"/>
  <c r="J8" i="1"/>
  <c r="H7" i="1"/>
  <c r="I7" i="1"/>
  <c r="J7" i="1"/>
  <c r="J2" i="1"/>
  <c r="J3" i="1"/>
  <c r="T2" i="1"/>
  <c r="N2" i="1"/>
</calcChain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User-defined field</t>
        </r>
      </text>
    </comment>
    <comment ref="E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H6" author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O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Q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U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V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<sst xmlns="http://schemas.openxmlformats.org/spreadsheetml/2006/main" count="530" uniqueCount="330">
  <si>
    <t>Global Part Info</t>
  </si>
  <si>
    <t>Manf#</t>
  </si>
  <si>
    <t>Note</t>
  </si>
  <si>
    <t>Ext$</t>
  </si>
  <si>
    <t>Unit$</t>
  </si>
  <si>
    <t>Manf</t>
  </si>
  <si>
    <t>Footprint</t>
  </si>
  <si>
    <t>Refs</t>
  </si>
  <si>
    <t>Qty</t>
  </si>
  <si>
    <t>Value</t>
  </si>
  <si>
    <t>Desc</t>
  </si>
  <si>
    <t>J1001</t>
  </si>
  <si>
    <t>Pin_Headers:Pin_Header_Straight_1x03_Pitch2.54mm</t>
  </si>
  <si>
    <t>PA[5..7]</t>
  </si>
  <si>
    <t>R303</t>
  </si>
  <si>
    <t>RC0805FR-07105KL</t>
  </si>
  <si>
    <t>Yageo</t>
  </si>
  <si>
    <t>Resistors_SMD:R_0805</t>
  </si>
  <si>
    <t>105k</t>
  </si>
  <si>
    <t>E301</t>
  </si>
  <si>
    <t>project:Spark_Gap_8mil</t>
  </si>
  <si>
    <t>SPARK_GAP</t>
  </si>
  <si>
    <t>U401</t>
  </si>
  <si>
    <t>TLV521DCKR</t>
  </si>
  <si>
    <t>Texas Instruments</t>
  </si>
  <si>
    <t>TO_SOT_Packages_SMD:SOT-353_SC-70-5</t>
  </si>
  <si>
    <t>TLV521</t>
  </si>
  <si>
    <t>U1101</t>
  </si>
  <si>
    <t>TPD2E001IDRLRQ1</t>
  </si>
  <si>
    <t>TO_SOT_Packages_SMD:SOT-553</t>
  </si>
  <si>
    <t>D301</t>
  </si>
  <si>
    <t>SK520TR</t>
  </si>
  <si>
    <t>SMC Diode Solutions</t>
  </si>
  <si>
    <t>Diodes_SMD:D_SMC_Standard</t>
  </si>
  <si>
    <t>5A</t>
  </si>
  <si>
    <t>R401</t>
  </si>
  <si>
    <t>RC0805FR-0710ML</t>
  </si>
  <si>
    <t>1%</t>
  </si>
  <si>
    <t>10M</t>
  </si>
  <si>
    <t>C501</t>
  </si>
  <si>
    <t>GRM188R71H103JA01D</t>
  </si>
  <si>
    <t>DNS</t>
  </si>
  <si>
    <t>Murata Electronics</t>
  </si>
  <si>
    <t>Capacitors_SMD:C_0603</t>
  </si>
  <si>
    <t>10n</t>
  </si>
  <si>
    <t>J1002</t>
  </si>
  <si>
    <t>Pin_Headers:Pin_Header_Straight_1x04_Pitch2.54mm</t>
  </si>
  <si>
    <t>PB[0..3]</t>
  </si>
  <si>
    <t>J801</t>
  </si>
  <si>
    <t>N2510-6002RB</t>
  </si>
  <si>
    <t>3M Electronic Solutions Division</t>
  </si>
  <si>
    <t>Connectors:IDC_Header_Straight_10pins</t>
  </si>
  <si>
    <t>CONN_02X05</t>
  </si>
  <si>
    <t>U701</t>
  </si>
  <si>
    <t>AT30TS74-XM8M-B</t>
  </si>
  <si>
    <t>Microchip Technology</t>
  </si>
  <si>
    <t>Housings_SSOP:MSOP-8_3x3mm_Pitch0.65mm</t>
  </si>
  <si>
    <t>Main Reg</t>
  </si>
  <si>
    <t>J301</t>
  </si>
  <si>
    <t>1984617</t>
  </si>
  <si>
    <t>Phoenix Contact</t>
  </si>
  <si>
    <t>Connectors_Terminal_Blocks:TerminalBlock_Pheonix_PT-3.5mm_2pol</t>
  </si>
  <si>
    <t>CONN_01X02</t>
  </si>
  <si>
    <t>C212</t>
  </si>
  <si>
    <t>GCM188R71C474KA55D</t>
  </si>
  <si>
    <t>0.47u</t>
  </si>
  <si>
    <t>R304</t>
  </si>
  <si>
    <t>RC0805FR-074K02L</t>
  </si>
  <si>
    <t>4.02k</t>
  </si>
  <si>
    <t>D302</t>
  </si>
  <si>
    <t>824501361</t>
  </si>
  <si>
    <t>Wurth Electronics Inc.</t>
  </si>
  <si>
    <t>Diodes_SMD:D_SMA_Standard</t>
  </si>
  <si>
    <t>36V</t>
  </si>
  <si>
    <t>R901</t>
  </si>
  <si>
    <t>RC0603JR-070RL</t>
  </si>
  <si>
    <t>Resistors_SMD:R_0603</t>
  </si>
  <si>
    <t>0</t>
  </si>
  <si>
    <t>J901-J905</t>
  </si>
  <si>
    <t>1984633</t>
  </si>
  <si>
    <t>Connectors_Terminal_Blocks:TerminalBlock_Pheonix_PT-3.5mm_4pol</t>
  </si>
  <si>
    <t>CONN_01X04</t>
  </si>
  <si>
    <t>D201</t>
  </si>
  <si>
    <t>Diodes_SMD:D_SOD-123</t>
  </si>
  <si>
    <t>5.1V</t>
  </si>
  <si>
    <t>J1101</t>
  </si>
  <si>
    <t>10103594-0001LF</t>
  </si>
  <si>
    <t>Amphenol FCI</t>
  </si>
  <si>
    <t>Connectors:USB_Micro-B_10103594-0001LF</t>
  </si>
  <si>
    <t>USB_OTG</t>
  </si>
  <si>
    <t>R205</t>
  </si>
  <si>
    <t>RC0805FR-072K15L</t>
  </si>
  <si>
    <t>2.15k</t>
  </si>
  <si>
    <t>FB1101</t>
  </si>
  <si>
    <t>MPZ2012S102AT000</t>
  </si>
  <si>
    <t>TDK</t>
  </si>
  <si>
    <t>Filter</t>
  </si>
  <si>
    <t>R503,R505</t>
  </si>
  <si>
    <t>R</t>
  </si>
  <si>
    <t>C802,C804</t>
  </si>
  <si>
    <t>CL21A106KOQNNNG</t>
  </si>
  <si>
    <t>Samsung</t>
  </si>
  <si>
    <t>Capacitors_SMD:C_0805</t>
  </si>
  <si>
    <t>10u</t>
  </si>
  <si>
    <t>C208-C210,C213</t>
  </si>
  <si>
    <t>TCJD337M006R0025</t>
  </si>
  <si>
    <t>6.3V, 0.025 ohm</t>
  </si>
  <si>
    <t>AVX Corporation</t>
  </si>
  <si>
    <t>Capacitors_Tantalum_SMD:Tantalum_Case-V_EIA-7343-20_Hand</t>
  </si>
  <si>
    <t>330u</t>
  </si>
  <si>
    <t>C503</t>
  </si>
  <si>
    <t>CL21A475KQFNNNG</t>
  </si>
  <si>
    <t>X7R</t>
  </si>
  <si>
    <t>4.7uF, 50V</t>
  </si>
  <si>
    <t>TP601</t>
  </si>
  <si>
    <t>Connectors:PINTST</t>
  </si>
  <si>
    <t>RESET</t>
  </si>
  <si>
    <t>R601,R603,R608-R615</t>
  </si>
  <si>
    <t>RC0603JR-0768RL</t>
  </si>
  <si>
    <t>68</t>
  </si>
  <si>
    <t>U601</t>
  </si>
  <si>
    <t>ATXMEGA32A4U-AU</t>
  </si>
  <si>
    <t>Housings_QFP:TQFP-44_10x10mm_Pitch0.8mm</t>
  </si>
  <si>
    <t>C403,C404,C504</t>
  </si>
  <si>
    <t>C</t>
  </si>
  <si>
    <t>R204</t>
  </si>
  <si>
    <t>RC0805FR-0784K5L</t>
  </si>
  <si>
    <t>84.5k</t>
  </si>
  <si>
    <t>U901</t>
  </si>
  <si>
    <t>CD4504BM96</t>
  </si>
  <si>
    <t>Housings_SOIC:SOIC-16_3.9x9.9mm_Pitch1.27mm</t>
  </si>
  <si>
    <t>CD4504B</t>
  </si>
  <si>
    <t>C302</t>
  </si>
  <si>
    <t>CC0805ZRY5V7BB105</t>
  </si>
  <si>
    <t>1uF</t>
  </si>
  <si>
    <t>J601</t>
  </si>
  <si>
    <t>Connectors:Tag-Connect_TC2030-IDC-NL</t>
  </si>
  <si>
    <t>PDI</t>
  </si>
  <si>
    <t>R302,R501,R604,R605</t>
  </si>
  <si>
    <t>RC0603JR-07100KL</t>
  </si>
  <si>
    <t>100k</t>
  </si>
  <si>
    <t>C205,C206</t>
  </si>
  <si>
    <t>GCM188R71H473KA55D</t>
  </si>
  <si>
    <t>47n</t>
  </si>
  <si>
    <t>F301</t>
  </si>
  <si>
    <t>0603SFS450F/32-2</t>
  </si>
  <si>
    <t>OPT</t>
  </si>
  <si>
    <t>Littelfuse</t>
  </si>
  <si>
    <t>Resistors_SMD:R_0603_HandSoldering</t>
  </si>
  <si>
    <t>4.5A</t>
  </si>
  <si>
    <t>U201</t>
  </si>
  <si>
    <t>LMZ23610TZE/NOPB</t>
  </si>
  <si>
    <t>project:TO-PMOD-11</t>
  </si>
  <si>
    <t>LMZ23610</t>
  </si>
  <si>
    <t>C601,C606</t>
  </si>
  <si>
    <t>Y601</t>
  </si>
  <si>
    <t>ABM3-16.000MHZ-B2-T</t>
  </si>
  <si>
    <t>Abracon</t>
  </si>
  <si>
    <t>Crystals:Crystal_SMD_Abracon_ABM3-2pin_5.0x3.2mm_HandSoldering</t>
  </si>
  <si>
    <t>16MHz</t>
  </si>
  <si>
    <t>C904,C906,C908,C910,C912</t>
  </si>
  <si>
    <t>C505</t>
  </si>
  <si>
    <t>J1103</t>
  </si>
  <si>
    <t>Pin_Headers:Pin_Header_Straight_2x04_Pitch2.54mm</t>
  </si>
  <si>
    <t>CSHARE_OUT</t>
  </si>
  <si>
    <t>J906</t>
  </si>
  <si>
    <t>Pin_Headers:Pin_Header_Straight_1x02_Pitch2.54mm</t>
  </si>
  <si>
    <t>PC[0..1]</t>
  </si>
  <si>
    <t>R606,R607</t>
  </si>
  <si>
    <t>RC0603JR-072K2L</t>
  </si>
  <si>
    <t>2.2k</t>
  </si>
  <si>
    <t>C201,C1102</t>
  </si>
  <si>
    <t>CL10B472KB8NNNC</t>
  </si>
  <si>
    <t>4.7n</t>
  </si>
  <si>
    <t>Q301</t>
  </si>
  <si>
    <t>PSMN019-100YLX</t>
  </si>
  <si>
    <t>Nexperia USA Inc.</t>
  </si>
  <si>
    <t>TO_SOT_Packages_SMD:SOT-669_LFPAK_ThermalVias-1</t>
  </si>
  <si>
    <t>Q_NMOS_SSSGD</t>
  </si>
  <si>
    <t>R1101</t>
  </si>
  <si>
    <t>RC0603JR-071ML</t>
  </si>
  <si>
    <t>1M</t>
  </si>
  <si>
    <t>C202-C204</t>
  </si>
  <si>
    <t>C3225X7S1H106M250AB</t>
  </si>
  <si>
    <t>50V, Low ESL</t>
  </si>
  <si>
    <t>TDK Corporation</t>
  </si>
  <si>
    <t>Capacitors_SMD:C_1210</t>
  </si>
  <si>
    <t>10uF</t>
  </si>
  <si>
    <t>R203</t>
  </si>
  <si>
    <t>RC0805JR-070RL</t>
  </si>
  <si>
    <t>C301</t>
  </si>
  <si>
    <t>ECA-1HM331</t>
  </si>
  <si>
    <t>Panasonic Electronic Components</t>
  </si>
  <si>
    <t>Capacitors_THT:CP_Radial_D10.0mm_P5.00mm</t>
  </si>
  <si>
    <t>330u, 50V</t>
  </si>
  <si>
    <t>H101-H104</t>
  </si>
  <si>
    <t>Mounting_Holes:MountingHole_3.2mm_M3_Pad</t>
  </si>
  <si>
    <t>M3</t>
  </si>
  <si>
    <t>C211,C401,C602-C605,C701,C901,C902,C1101</t>
  </si>
  <si>
    <t>GRM188R71H104KA93D</t>
  </si>
  <si>
    <t>0.1u</t>
  </si>
  <si>
    <t>R403,R704-R706,R902</t>
  </si>
  <si>
    <t>R622</t>
  </si>
  <si>
    <t>CRCW060310K0FKEA</t>
  </si>
  <si>
    <t>Vishay</t>
  </si>
  <si>
    <t>10k</t>
  </si>
  <si>
    <t>U501</t>
  </si>
  <si>
    <t>TPS7A6633QDGNRQ1</t>
  </si>
  <si>
    <t>Housings_SSOP:MSOP-8-1EP_3x3mm_Pitch0.65mm</t>
  </si>
  <si>
    <t>3.3v</t>
  </si>
  <si>
    <t>R101</t>
  </si>
  <si>
    <t>R402</t>
  </si>
  <si>
    <t>RC0805FR-07316KL</t>
  </si>
  <si>
    <t>316k</t>
  </si>
  <si>
    <t>C607,C608</t>
  </si>
  <si>
    <t>500R15N270KV4T</t>
  </si>
  <si>
    <t>Johanson Dielectrics Inc.</t>
  </si>
  <si>
    <t>26p</t>
  </si>
  <si>
    <t>FB601</t>
  </si>
  <si>
    <t>FB</t>
  </si>
  <si>
    <t>R301</t>
  </si>
  <si>
    <t>RU3216FR010CS</t>
  </si>
  <si>
    <t>Resistors_SMD:R_1206</t>
  </si>
  <si>
    <t>10m</t>
  </si>
  <si>
    <t>C801,C803</t>
  </si>
  <si>
    <t>CL10B105KO8NNNC</t>
  </si>
  <si>
    <t>1u</t>
  </si>
  <si>
    <t>SW601</t>
  </si>
  <si>
    <t>EVP-BFAC1A000</t>
  </si>
  <si>
    <t>Buttons_Switches_SMD:SW_SPST_EVPBF</t>
  </si>
  <si>
    <t>J1102</t>
  </si>
  <si>
    <t>CSHARE_IN</t>
  </si>
  <si>
    <t>C402</t>
  </si>
  <si>
    <t>U301</t>
  </si>
  <si>
    <t>RT1720GF</t>
  </si>
  <si>
    <t>Richtek USA Inc.</t>
  </si>
  <si>
    <t>Housings_SSOP:MSOP-10_3x3mm_Pitch0.5mm</t>
  </si>
  <si>
    <t>RT1720</t>
  </si>
  <si>
    <t>D501</t>
  </si>
  <si>
    <t>MMBD1204</t>
  </si>
  <si>
    <t>Fairchild/ON Semiconductor</t>
  </si>
  <si>
    <t>TO_SOT_Packages_SMD:SOT-23</t>
  </si>
  <si>
    <t>R602,R616-R621</t>
  </si>
  <si>
    <t>R201</t>
  </si>
  <si>
    <t>RC0805FR-071M91L</t>
  </si>
  <si>
    <t>1.91M</t>
  </si>
  <si>
    <t>C207</t>
  </si>
  <si>
    <t>JMK212BBJ476MG-T</t>
  </si>
  <si>
    <t>Taiyo Yuden</t>
  </si>
  <si>
    <t>47u</t>
  </si>
  <si>
    <t>C502</t>
  </si>
  <si>
    <t>R502,R504,R701-R703</t>
  </si>
  <si>
    <t>R202</t>
  </si>
  <si>
    <t>RC0805FR-0711K3L</t>
  </si>
  <si>
    <t>11.3k</t>
  </si>
  <si>
    <t>Board Qty:</t>
  </si>
  <si>
    <t>Total Cost:</t>
  </si>
  <si>
    <t>Unit Cost:</t>
  </si>
  <si>
    <t>Digi-Key</t>
  </si>
  <si>
    <t>Doc</t>
  </si>
  <si>
    <t>Avail</t>
  </si>
  <si>
    <t>Purch</t>
  </si>
  <si>
    <t>Cat#</t>
  </si>
  <si>
    <t>Link</t>
  </si>
  <si>
    <t>311-105KCRCT-ND</t>
  </si>
  <si>
    <t>TLV521DCKR-ND</t>
  </si>
  <si>
    <t>296-29985-1-ND</t>
  </si>
  <si>
    <t>1655-1603-1-ND</t>
  </si>
  <si>
    <t>311-10.0MCRCT-ND</t>
  </si>
  <si>
    <t>490-9734-1-ND</t>
  </si>
  <si>
    <t>MHC10K-ND</t>
  </si>
  <si>
    <t>1611-AT30TS74-XM8M-B-ND</t>
  </si>
  <si>
    <t>277-1721-ND</t>
  </si>
  <si>
    <t>490-4775-1-ND</t>
  </si>
  <si>
    <t>311-4.02KCRCT-ND</t>
  </si>
  <si>
    <t>732-9957-1-ND</t>
  </si>
  <si>
    <t>311-0.0GRCT-ND</t>
  </si>
  <si>
    <t>277-1860-ND</t>
  </si>
  <si>
    <t>609-4050-1-ND</t>
  </si>
  <si>
    <t>311-2.15KCRCT-ND</t>
  </si>
  <si>
    <t>445-5223-1-ND</t>
  </si>
  <si>
    <t>1276-1096-1-ND</t>
  </si>
  <si>
    <t>478-9446-1-ND</t>
  </si>
  <si>
    <t>1276-6465-1-ND</t>
  </si>
  <si>
    <t>311-68GRCT-ND</t>
  </si>
  <si>
    <t>ATXMEGA32A4U-AU-ND</t>
  </si>
  <si>
    <t>311-84.5KCRCT-ND</t>
  </si>
  <si>
    <t>296-14150-1-ND</t>
  </si>
  <si>
    <t>311-1457-1-ND</t>
  </si>
  <si>
    <t>311-100KGRCT-ND</t>
  </si>
  <si>
    <t>490-4934-1-ND</t>
  </si>
  <si>
    <t>0603SFS450F/32-2CT-ND</t>
  </si>
  <si>
    <t>296-40334-1-ND</t>
  </si>
  <si>
    <t>535-9103-1-ND</t>
  </si>
  <si>
    <t>311-2.2KGRCT-ND</t>
  </si>
  <si>
    <t>1276-1098-1-ND</t>
  </si>
  <si>
    <t>1727-2592-1-ND</t>
  </si>
  <si>
    <t>311-1.0MGRCT-ND</t>
  </si>
  <si>
    <t>445-4537-1-ND</t>
  </si>
  <si>
    <t>311-0.0ARCT-ND</t>
  </si>
  <si>
    <t>P5184-ND</t>
  </si>
  <si>
    <t>490-1519-1-ND</t>
  </si>
  <si>
    <t>541-10.0KHCT-ND</t>
  </si>
  <si>
    <t>296-39504-1-ND</t>
  </si>
  <si>
    <t>311-316KCRCT-ND</t>
  </si>
  <si>
    <t>709-1173-1-ND</t>
  </si>
  <si>
    <t>1276-6160-1-ND</t>
  </si>
  <si>
    <t>1276-1019-1-ND</t>
  </si>
  <si>
    <t>P19749CT-ND</t>
  </si>
  <si>
    <t>1028-1445-1-ND</t>
  </si>
  <si>
    <t>MMBD1204CT-ND</t>
  </si>
  <si>
    <t>311-1.91MCRCT-ND</t>
  </si>
  <si>
    <t>587-4280-1-ND</t>
  </si>
  <si>
    <t>311-11.3KCRCT-ND</t>
  </si>
  <si>
    <t>Mouser</t>
  </si>
  <si>
    <t>603-RC0805FR-07105KL</t>
  </si>
  <si>
    <t>595-TLV521DCKR</t>
  </si>
  <si>
    <t>595-TPD2E001IDRLRQ1</t>
  </si>
  <si>
    <t>517-N2510-6002RB</t>
  </si>
  <si>
    <t>651-1984617</t>
  </si>
  <si>
    <t>603-RC0805FR-074K02L</t>
  </si>
  <si>
    <t>603-RC0603JR-070RL</t>
  </si>
  <si>
    <t>651-1984633</t>
  </si>
  <si>
    <t>649-10103594-0001LF</t>
  </si>
  <si>
    <t>581-TCJD337M006R0025</t>
  </si>
  <si>
    <t>603-RC0805FR-0784K5L</t>
  </si>
  <si>
    <t>603-CC805ZRY5V7BB105</t>
  </si>
  <si>
    <t>81-GCM188R71H473K55D</t>
  </si>
  <si>
    <t>650-0603SFS450F/32-2</t>
  </si>
  <si>
    <t>926-LMZ23610TZE/NOPB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</si>
</sst>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,##0.00"/>
  </numFmts>
  <fonts count="8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4A85"/>
        <bgColor indexed="64"/>
      </patternFill>
    </fill>
  </fills>
  <borders count="1">
    <border>
      <left/>
      <right/>
      <top/>
      <bottom/>
      <diagonal/>
    </border>
  </borders>
  <cellStyleXfs count="63">
    <xf numFmtId="0" fontId="0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</cellXfs>
  <cellStyles count="63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Normal" xfId="0" builtinId="0"/>
  </cellStyles>
  <dxfs count="148"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digikey.com/scripts/DkSearch/dksus.dll?WT.z_header=search_go&amp;lang=en&amp;keywords=1984617" TargetMode="External"/><Relationship Id="rId14" Type="http://schemas.openxmlformats.org/officeDocument/2006/relationships/hyperlink" Target="http://www.mouser.com/Search/Refine.aspx?Keyword=1984617" TargetMode="External"/><Relationship Id="rId15" Type="http://schemas.openxmlformats.org/officeDocument/2006/relationships/hyperlink" Target="http://www.digikey.com/product-detail/en/murata-electronics-north-america/GCM188R71C474KA55D/490-4775-1-ND/1641694" TargetMode="External"/><Relationship Id="rId16" Type="http://schemas.openxmlformats.org/officeDocument/2006/relationships/hyperlink" Target="http://www.digikey.com/product-detail/en/yageo/RC0805FR-074K02L/311-4.02KCRCT-ND/730854" TargetMode="External"/><Relationship Id="rId17" Type="http://schemas.openxmlformats.org/officeDocument/2006/relationships/hyperlink" Target="http://www.mouser.com/Search/Refine.aspx?Keyword=RC0805FR-074K02L%20Yageo" TargetMode="External"/><Relationship Id="rId18" Type="http://schemas.openxmlformats.org/officeDocument/2006/relationships/hyperlink" Target="http://www.digikey.com/product-detail/en/wurth-electronics-inc/824501361/732-9957-1-ND/5871110" TargetMode="External"/><Relationship Id="rId19" Type="http://schemas.openxmlformats.org/officeDocument/2006/relationships/hyperlink" Target="http://www.digikey.com/product-detail/en/yageo/RC0603JR-070RL/311-0.0GRCT-ND/729622" TargetMode="External"/><Relationship Id="rId63" Type="http://schemas.openxmlformats.org/officeDocument/2006/relationships/hyperlink" Target="http://www.digikey.com/product-detail/en/samsung-electro-mechanics-america-inc/RU3216FR010CS/1276-6160-1-ND/3969132" TargetMode="External"/><Relationship Id="rId64" Type="http://schemas.openxmlformats.org/officeDocument/2006/relationships/hyperlink" Target="http://www.digikey.com/product-detail/en/samsung-electro-mechanics-america-inc/CL10B105KO8NNNC/1276-1019-1-ND/3889105" TargetMode="External"/><Relationship Id="rId65" Type="http://schemas.openxmlformats.org/officeDocument/2006/relationships/hyperlink" Target="http://www.digikey.com/product-detail/en/panasonic-electronic-components/EVP-BFAC1A000/P19749CT-ND/6125116" TargetMode="External"/><Relationship Id="rId66" Type="http://schemas.openxmlformats.org/officeDocument/2006/relationships/hyperlink" Target="http://www.digikey.com/product-detail/en/samsung-electro-mechanics-america-inc/CL10B105KO8NNNC/1276-1019-1-ND/3889105" TargetMode="External"/><Relationship Id="rId67" Type="http://schemas.openxmlformats.org/officeDocument/2006/relationships/hyperlink" Target="http://www.digikey.com/product-detail/en/richtek-usa-inc/RT1720GF/1028-1445-1-ND/6002785" TargetMode="External"/><Relationship Id="rId68" Type="http://schemas.openxmlformats.org/officeDocument/2006/relationships/hyperlink" Target="http://www.digikey.com/product-detail/en/fairchild-on-semiconductor/MMBD1204/MMBD1204CT-ND/458963" TargetMode="External"/><Relationship Id="rId69" Type="http://schemas.openxmlformats.org/officeDocument/2006/relationships/hyperlink" Target="http://www.digikey.com/product-detail/en/yageo/RC0603JR-0768RL/311-68GRCT-ND/729768" TargetMode="External"/><Relationship Id="rId50" Type="http://schemas.openxmlformats.org/officeDocument/2006/relationships/hyperlink" Target="http://www.digikey.com/product-detail/en/nexperia-usa-inc/PSMN019-100YLX/1727-2592-1-ND/6167603" TargetMode="External"/><Relationship Id="rId51" Type="http://schemas.openxmlformats.org/officeDocument/2006/relationships/hyperlink" Target="http://www.digikey.com/product-detail/en/yageo/RC0603JR-071ML/311-1.0MGRCT-ND/729625" TargetMode="External"/><Relationship Id="rId52" Type="http://schemas.openxmlformats.org/officeDocument/2006/relationships/hyperlink" Target="http://www.digikey.com/product-detail/en/tdk-corporation/C3225X7S1H106M250AB/445-4537-1-ND/2042333" TargetMode="External"/><Relationship Id="rId53" Type="http://schemas.openxmlformats.org/officeDocument/2006/relationships/hyperlink" Target="http://www.digikey.com/product-detail/en/yageo/RC0805JR-070RL/311-0.0ARCT-ND/731163" TargetMode="External"/><Relationship Id="rId54" Type="http://schemas.openxmlformats.org/officeDocument/2006/relationships/hyperlink" Target="http://www.digikey.com/product-detail/en/panasonic-electronic-components/ECA-1HM331/P5184-ND/245043" TargetMode="External"/><Relationship Id="rId55" Type="http://schemas.openxmlformats.org/officeDocument/2006/relationships/hyperlink" Target="http://www.digikey.com/product-detail/en/murata-electronics-north-america/GRM188R71H104KA93D/490-1519-1-ND/587854" TargetMode="External"/><Relationship Id="rId56" Type="http://schemas.openxmlformats.org/officeDocument/2006/relationships/hyperlink" Target="http://www.digikey.com/product-detail/en/yageo/RC0603JR-070RL/311-0.0GRCT-ND/729622" TargetMode="External"/><Relationship Id="rId57" Type="http://schemas.openxmlformats.org/officeDocument/2006/relationships/hyperlink" Target="http://www.digikey.com/product-detail/en/vishay-dale/CRCW060310K0FKEA/541-10.0KHCT-ND/1179924" TargetMode="External"/><Relationship Id="rId58" Type="http://schemas.openxmlformats.org/officeDocument/2006/relationships/hyperlink" Target="http://www.digikey.com/product-detail/en/texas-instruments/TPS7A6633QDGNRQ1/296-39504-1-ND/5143451" TargetMode="External"/><Relationship Id="rId59" Type="http://schemas.openxmlformats.org/officeDocument/2006/relationships/hyperlink" Target="http://www.digikey.com/product-detail/en/yageo/RC0805JR-070RL/311-0.0ARCT-ND/731163" TargetMode="External"/><Relationship Id="rId40" Type="http://schemas.openxmlformats.org/officeDocument/2006/relationships/hyperlink" Target="http://www.mouser.com/Search/Refine.aspx?Keyword=GCM188R71H473KA55D" TargetMode="External"/><Relationship Id="rId41" Type="http://schemas.openxmlformats.org/officeDocument/2006/relationships/hyperlink" Target="http://www.digikey.com/product-detail/en/littelfuse-inc/0603SFS450F-32-2/0603SFS450F-32-2CT-ND/2037159" TargetMode="External"/><Relationship Id="rId42" Type="http://schemas.openxmlformats.org/officeDocument/2006/relationships/hyperlink" Target="http://www.mouser.com/Search/Refine.aspx?Keyword=0603SFS450F%2F32-2" TargetMode="External"/><Relationship Id="rId43" Type="http://schemas.openxmlformats.org/officeDocument/2006/relationships/hyperlink" Target="http://www.digikey.com/product-detail/en/texas-instruments/LMZ23610TZE-NOPB/296-40334-1-ND/5178211" TargetMode="External"/><Relationship Id="rId44" Type="http://schemas.openxmlformats.org/officeDocument/2006/relationships/hyperlink" Target="http://www.mouser.com/Search/Refine.aspx?Keyword=LMZ23610TZE%2FNOPB" TargetMode="External"/><Relationship Id="rId45" Type="http://schemas.openxmlformats.org/officeDocument/2006/relationships/hyperlink" Target="http://www.digikey.com/product-detail/en/samsung-electro-mechanics-america-inc/CL21A106KOQNNNE/1276-1096-1-ND/3889182" TargetMode="External"/><Relationship Id="rId46" Type="http://schemas.openxmlformats.org/officeDocument/2006/relationships/hyperlink" Target="http://www.digikey.com/product-detail/en/abracon-llc/ABM3-16.000MHZ-B2-T/535-9103-1-ND/675620" TargetMode="External"/><Relationship Id="rId47" Type="http://schemas.openxmlformats.org/officeDocument/2006/relationships/hyperlink" Target="http://www.digikey.com/product-detail/en/samsung-electro-mechanics-america-inc/CL21A106KOQNNNE/1276-1096-1-ND/3889182" TargetMode="External"/><Relationship Id="rId48" Type="http://schemas.openxmlformats.org/officeDocument/2006/relationships/hyperlink" Target="http://www.digikey.com/product-detail/en/yageo/RC0603JR-072K2L/311-2.2KGRCT-ND/729676" TargetMode="External"/><Relationship Id="rId49" Type="http://schemas.openxmlformats.org/officeDocument/2006/relationships/hyperlink" Target="http://www.digikey.com/product-detail/en/samsung-electro-mechanics-america-inc/CL10B472KB8NNNC/1276-1098-1-ND/3889184" TargetMode="External"/><Relationship Id="rId1" Type="http://schemas.openxmlformats.org/officeDocument/2006/relationships/hyperlink" Target="http://www.digikey.com/product-detail/en/yageo/RC0805FR-07105KL/311-105KCRCT-ND/730495" TargetMode="External"/><Relationship Id="rId2" Type="http://schemas.openxmlformats.org/officeDocument/2006/relationships/hyperlink" Target="http://www.mouser.com/ProductDetail/Yageo/RC0805FR-07105KL/?qs=sGAEpiMZZMu61qfTUdNhG92fxgWN7axftU0W8jCwEoE%3d" TargetMode="External"/><Relationship Id="rId3" Type="http://schemas.openxmlformats.org/officeDocument/2006/relationships/hyperlink" Target="http://www.digikey.com/scripts/DkSearch/dksus.dll?WT.z_header=search_go&amp;lang=en&amp;keywords=TLV521DCKR" TargetMode="External"/><Relationship Id="rId4" Type="http://schemas.openxmlformats.org/officeDocument/2006/relationships/hyperlink" Target="http://www.mouser.com/ProductDetail/Texas-Instruments/TLV521DCKR/?qs=sGAEpiMZZMtCHixnSjNA6DvVf8pse1th9zkQroXB8eQ%3d" TargetMode="External"/><Relationship Id="rId5" Type="http://schemas.openxmlformats.org/officeDocument/2006/relationships/hyperlink" Target="http://www.digikey.com/product-detail/en/texas-instruments/TPD2E001IDRLRQ1/296-29985-1-ND/2791193" TargetMode="External"/><Relationship Id="rId6" Type="http://schemas.openxmlformats.org/officeDocument/2006/relationships/hyperlink" Target="http://www.mouser.com/Search/Refine.aspx?Keyword=TPD2E001IDRLRQ1" TargetMode="External"/><Relationship Id="rId7" Type="http://schemas.openxmlformats.org/officeDocument/2006/relationships/hyperlink" Target="http://www.digikey.com/product-detail/en/smc-diode-solutions/SK520TR/1655-1603-1-ND/6023048" TargetMode="External"/><Relationship Id="rId8" Type="http://schemas.openxmlformats.org/officeDocument/2006/relationships/hyperlink" Target="http://www.digikey.com/product-detail/en/yageo/RC0805FR-0710ML/311-10.0MCRCT-ND/730483" TargetMode="External"/><Relationship Id="rId9" Type="http://schemas.openxmlformats.org/officeDocument/2006/relationships/hyperlink" Target="http://www.digikey.com/product-detail/en/murata-electronics-north-america/GRM188R71H103JA01D/490-9734-1-ND/4934907" TargetMode="External"/><Relationship Id="rId30" Type="http://schemas.openxmlformats.org/officeDocument/2006/relationships/hyperlink" Target="http://www.digikey.com/product-detail/en/samsung-electro-mechanics-america-inc/CL21A475KQFNNNG/1276-6465-1-ND/5958093" TargetMode="External"/><Relationship Id="rId31" Type="http://schemas.openxmlformats.org/officeDocument/2006/relationships/hyperlink" Target="http://www.digikey.com/product-detail/en/yageo/RC0603JR-0768RL/311-68GRCT-ND/729768" TargetMode="External"/><Relationship Id="rId32" Type="http://schemas.openxmlformats.org/officeDocument/2006/relationships/hyperlink" Target="http://www.digikey.com/product-detail/en/microchip-technology/ATXMEGA32A4U-AU/ATXMEGA32A4U-AU-ND/3046479" TargetMode="External"/><Relationship Id="rId33" Type="http://schemas.openxmlformats.org/officeDocument/2006/relationships/hyperlink" Target="http://www.digikey.com/product-detail/en/yageo/RC0805FR-0784K5L/311-84.5KCRCT-ND/731120" TargetMode="External"/><Relationship Id="rId34" Type="http://schemas.openxmlformats.org/officeDocument/2006/relationships/hyperlink" Target="http://www.mouser.com/ProductDetail/Yageo/RC0805FR-0784K5L/?qs=sGAEpiMZZMu61qfTUdNhG6gKAQVNBKOoi%2fYZK04qye4%3d" TargetMode="External"/><Relationship Id="rId35" Type="http://schemas.openxmlformats.org/officeDocument/2006/relationships/hyperlink" Target="http://www.digikey.com/product-detail/en/texas-instruments/CD4504BM96/296-14150-1-ND/525967" TargetMode="External"/><Relationship Id="rId36" Type="http://schemas.openxmlformats.org/officeDocument/2006/relationships/hyperlink" Target="http://www.digikey.com/product-detail/en/yageo/CC0805ZRY5V7BB105/311-1457-1-ND/2833763" TargetMode="External"/><Relationship Id="rId37" Type="http://schemas.openxmlformats.org/officeDocument/2006/relationships/hyperlink" Target="http://www.mouser.com/Search/Refine.aspx?Keyword=CC0805ZRY5V7BB105%20Yageo" TargetMode="External"/><Relationship Id="rId38" Type="http://schemas.openxmlformats.org/officeDocument/2006/relationships/hyperlink" Target="http://www.digikey.com/product-detail/en/yageo/RC0603JR-07100KL/311-100KGRCT-ND/729645" TargetMode="External"/><Relationship Id="rId39" Type="http://schemas.openxmlformats.org/officeDocument/2006/relationships/hyperlink" Target="http://www.digikey.com/product-detail/en/murata-electronics-north-america/GCM188R71H473KA55D/490-4934-1-ND/1765253" TargetMode="External"/><Relationship Id="rId70" Type="http://schemas.openxmlformats.org/officeDocument/2006/relationships/hyperlink" Target="http://www.digikey.com/product-detail/en/yageo/RC0805FR-071M91L/311-1.91MCRCT-ND/730477" TargetMode="External"/><Relationship Id="rId71" Type="http://schemas.openxmlformats.org/officeDocument/2006/relationships/hyperlink" Target="http://www.digikey.com/product-detail/en/taiyo-yuden/JMK212BBJ476MG-T/587-4280-1-ND/5344315" TargetMode="External"/><Relationship Id="rId72" Type="http://schemas.openxmlformats.org/officeDocument/2006/relationships/hyperlink" Target="http://www.digikey.com/product-detail/en/taiyo-yuden/JMK212BBJ476MG-T/587-4280-1-ND/5344315" TargetMode="External"/><Relationship Id="rId20" Type="http://schemas.openxmlformats.org/officeDocument/2006/relationships/hyperlink" Target="http://www.mouser.com/Search/Refine.aspx?Keyword=RC0603JR-070RL%20Yageo" TargetMode="External"/><Relationship Id="rId21" Type="http://schemas.openxmlformats.org/officeDocument/2006/relationships/hyperlink" Target="http://www.digikey.com/scripts/DkSearch/dksus.dll?WT.z_header=search_go&amp;lang=en&amp;keywords=1984633" TargetMode="External"/><Relationship Id="rId22" Type="http://schemas.openxmlformats.org/officeDocument/2006/relationships/hyperlink" Target="http://www.mouser.com/Search/Refine.aspx?Keyword=1984633" TargetMode="External"/><Relationship Id="rId23" Type="http://schemas.openxmlformats.org/officeDocument/2006/relationships/hyperlink" Target="http://www.digikey.com/product-detail/en/amphenol-fci/10103594-0001LF/609-4050-1-ND/2350357" TargetMode="External"/><Relationship Id="rId24" Type="http://schemas.openxmlformats.org/officeDocument/2006/relationships/hyperlink" Target="http://www.mouser.com/Search/Refine.aspx?Keyword=10103594-0001LF" TargetMode="External"/><Relationship Id="rId25" Type="http://schemas.openxmlformats.org/officeDocument/2006/relationships/hyperlink" Target="http://www.digikey.com/product-detail/en/yageo/RC0805FR-072K15L/311-2.15KCRCT-ND/730620" TargetMode="External"/><Relationship Id="rId26" Type="http://schemas.openxmlformats.org/officeDocument/2006/relationships/hyperlink" Target="http://www.digikey.com/product-detail/en/tdk-corporation/MPZ2012S102AT000/445-5223-1-ND/2117957" TargetMode="External"/><Relationship Id="rId27" Type="http://schemas.openxmlformats.org/officeDocument/2006/relationships/hyperlink" Target="http://www.digikey.com/product-detail/en/samsung-electro-mechanics-america-inc/CL21A106KOQNNNE/1276-1096-1-ND/3889182" TargetMode="External"/><Relationship Id="rId28" Type="http://schemas.openxmlformats.org/officeDocument/2006/relationships/hyperlink" Target="http://www.digikey.com/product-detail/en/avx-corporation/TCJD337M006R0025/478-9446-1-ND/5001658" TargetMode="External"/><Relationship Id="rId29" Type="http://schemas.openxmlformats.org/officeDocument/2006/relationships/hyperlink" Target="http://www.mouser.com/Search/Refine.aspx?Keyword=TCJD337M006R0025" TargetMode="External"/><Relationship Id="rId73" Type="http://schemas.openxmlformats.org/officeDocument/2006/relationships/hyperlink" Target="http://www.digikey.com/product-detail/en/yageo/RC0603JR-070RL/311-0.0GRCT-ND/729622" TargetMode="External"/><Relationship Id="rId74" Type="http://schemas.openxmlformats.org/officeDocument/2006/relationships/hyperlink" Target="http://www.digikey.com/product-detail/en/yageo/RC0805FR-0711K3L/311-11.3KCRCT-ND/730501" TargetMode="External"/><Relationship Id="rId75" Type="http://schemas.openxmlformats.org/officeDocument/2006/relationships/vmlDrawing" Target="../drawings/vmlDrawing1.vml"/><Relationship Id="rId76" Type="http://schemas.openxmlformats.org/officeDocument/2006/relationships/comments" Target="../comments1.xml"/><Relationship Id="rId60" Type="http://schemas.openxmlformats.org/officeDocument/2006/relationships/hyperlink" Target="http://www.digikey.com/product-detail/en/yageo/RC0805FR-07316KL/311-316KCRCT-ND/730804" TargetMode="External"/><Relationship Id="rId61" Type="http://schemas.openxmlformats.org/officeDocument/2006/relationships/hyperlink" Target="http://www.digikey.com/product-detail/en/johanson-dielectrics-inc/500R15N270KV4T/709-1173-1-ND/1859505" TargetMode="External"/><Relationship Id="rId62" Type="http://schemas.openxmlformats.org/officeDocument/2006/relationships/hyperlink" Target="http://www.digikey.com/product-detail/en/tdk-corporation/MPZ2012S102AT000/445-5223-1-ND/2117957" TargetMode="External"/><Relationship Id="rId10" Type="http://schemas.openxmlformats.org/officeDocument/2006/relationships/hyperlink" Target="http://www.digikey.com/product-detail/en/3m/N2510-6002-RB/MHC10K-ND/755176" TargetMode="External"/><Relationship Id="rId11" Type="http://schemas.openxmlformats.org/officeDocument/2006/relationships/hyperlink" Target="http://www.mouser.com/ProductDetail/3M-Electronic-Solutions-Division/N2510-6002RB/?qs=sGAEpiMZZMs%2bGHln7q6pm67xkeHW1IZNtQGtEf35AnY%3d" TargetMode="External"/><Relationship Id="rId12" Type="http://schemas.openxmlformats.org/officeDocument/2006/relationships/hyperlink" Target="http://www.digikey.com/product-detail/en/microchip-technology/AT30TS74-XM8M-B/1611-AT30TS74-XM8M-B-ND/68292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51"/>
  <sheetViews>
    <sheetView tabSelected="1" workbookViewId="0">
      <pane xSplit="10" ySplit="6" topLeftCell="K49" activePane="bottomRight" state="frozen"/>
      <selection pane="topRight" activeCell="K1" sqref="K1"/>
      <selection pane="bottomLeft" activeCell="A7" sqref="A7"/>
      <selection pane="bottomRight" activeCell="G77" sqref="G77"/>
    </sheetView>
  </sheetViews>
  <sheetFormatPr baseColWidth="10" defaultColWidth="8.83203125" defaultRowHeight="14" outlineLevelCol="2" x14ac:dyDescent="0"/>
  <cols>
    <col min="10" max="10" width="15.6640625" customWidth="1"/>
    <col min="11" max="11" width="8.83203125" outlineLevel="1"/>
    <col min="12" max="13" width="8.83203125" outlineLevel="2"/>
    <col min="14" max="14" width="15.6640625" customWidth="1"/>
    <col min="15" max="16" width="8.83203125" outlineLevel="2"/>
    <col min="17" max="17" width="8.83203125" outlineLevel="1"/>
    <col min="18" max="19" width="8.83203125" outlineLevel="2"/>
    <col min="20" max="20" width="15.6640625" customWidth="1"/>
    <col min="21" max="22" width="8.83203125" outlineLevel="2"/>
  </cols>
  <sheetData>
    <row r="1" spans="1:22" ht="16">
      <c r="I1" s="1" t="s">
        <v>255</v>
      </c>
      <c r="J1" s="1">
        <v>5</v>
      </c>
    </row>
    <row r="2" spans="1:22" ht="16">
      <c r="I2" s="2" t="s">
        <v>256</v>
      </c>
      <c r="J2" s="3">
        <f ca="1">SUM(J7:J78)</f>
        <v>266.84224999999998</v>
      </c>
      <c r="N2" s="3">
        <f>SUM(N7:N78)</f>
        <v>273.83224999999999</v>
      </c>
      <c r="T2" s="3">
        <f>SUM(T7:T78)</f>
        <v>179.215</v>
      </c>
    </row>
    <row r="3" spans="1:22" ht="16">
      <c r="I3" s="2" t="s">
        <v>257</v>
      </c>
      <c r="J3" s="4">
        <f ca="1">TotalCost/BoardQty</f>
        <v>53.368449999999996</v>
      </c>
    </row>
    <row r="5" spans="1:22" ht="18">
      <c r="A5" s="8" t="s">
        <v>0</v>
      </c>
      <c r="B5" s="8"/>
      <c r="C5" s="8"/>
      <c r="D5" s="8"/>
      <c r="E5" s="8"/>
      <c r="F5" s="8"/>
      <c r="G5" s="8"/>
      <c r="H5" s="8"/>
      <c r="I5" s="8"/>
      <c r="J5" s="8"/>
      <c r="K5" s="9" t="s">
        <v>258</v>
      </c>
      <c r="L5" s="9"/>
      <c r="M5" s="9"/>
      <c r="N5" s="9"/>
      <c r="O5" s="9"/>
      <c r="P5" s="9"/>
      <c r="Q5" s="10" t="s">
        <v>314</v>
      </c>
      <c r="R5" s="10"/>
      <c r="S5" s="10"/>
      <c r="T5" s="10"/>
      <c r="U5" s="10"/>
      <c r="V5" s="10"/>
    </row>
    <row r="6" spans="1:22" ht="30">
      <c r="A6" s="5" t="s">
        <v>7</v>
      </c>
      <c r="B6" s="5" t="s">
        <v>9</v>
      </c>
      <c r="C6" s="5" t="s">
        <v>10</v>
      </c>
      <c r="D6" s="5" t="s">
        <v>2</v>
      </c>
      <c r="E6" s="5" t="s">
        <v>6</v>
      </c>
      <c r="F6" s="5" t="s">
        <v>5</v>
      </c>
      <c r="G6" s="5" t="s">
        <v>1</v>
      </c>
      <c r="H6" s="5" t="s">
        <v>8</v>
      </c>
      <c r="I6" s="5" t="s">
        <v>4</v>
      </c>
      <c r="J6" s="5" t="s">
        <v>3</v>
      </c>
      <c r="K6" s="5" t="s">
        <v>260</v>
      </c>
      <c r="L6" s="5" t="s">
        <v>261</v>
      </c>
      <c r="M6" s="5" t="s">
        <v>4</v>
      </c>
      <c r="N6" s="5" t="s">
        <v>3</v>
      </c>
      <c r="O6" s="5" t="s">
        <v>262</v>
      </c>
      <c r="P6" s="5" t="s">
        <v>259</v>
      </c>
      <c r="Q6" s="5" t="s">
        <v>260</v>
      </c>
      <c r="R6" s="5" t="s">
        <v>261</v>
      </c>
      <c r="S6" s="5" t="s">
        <v>4</v>
      </c>
      <c r="T6" s="5" t="s">
        <v>3</v>
      </c>
      <c r="U6" s="5" t="s">
        <v>262</v>
      </c>
      <c r="V6" s="5" t="s">
        <v>259</v>
      </c>
    </row>
    <row r="7" spans="1:22">
      <c r="A7" t="s">
        <v>11</v>
      </c>
      <c r="B7" t="s">
        <v>13</v>
      </c>
      <c r="E7" t="s">
        <v>12</v>
      </c>
      <c r="H7">
        <f t="shared" ref="H7:H22" si="0">BoardQty*1</f>
        <v>5</v>
      </c>
      <c r="I7" s="6">
        <f t="shared" ref="I7:I38" ca="1" si="1">MINA(INDIRECT(ADDRESS(ROW(),COLUMN(digikey_part_data)+2)),INDIRECT(ADDRESS(ROW(),COLUMN(mouser_part_data)+2)))</f>
        <v>0</v>
      </c>
      <c r="J7" s="6">
        <f t="shared" ref="J7:J38" ca="1" si="2">IFERROR(H7*I7,"")</f>
        <v>0</v>
      </c>
    </row>
    <row r="8" spans="1:22">
      <c r="A8" t="s">
        <v>14</v>
      </c>
      <c r="B8" t="s">
        <v>18</v>
      </c>
      <c r="E8" t="s">
        <v>17</v>
      </c>
      <c r="F8" t="s">
        <v>16</v>
      </c>
      <c r="G8" t="s">
        <v>15</v>
      </c>
      <c r="H8">
        <f t="shared" si="0"/>
        <v>5</v>
      </c>
      <c r="I8" s="6">
        <f t="shared" ca="1" si="1"/>
        <v>0.1</v>
      </c>
      <c r="J8" s="6">
        <f t="shared" ca="1" si="2"/>
        <v>0.5</v>
      </c>
      <c r="K8">
        <v>150558</v>
      </c>
      <c r="M8" s="6">
        <f>IFERROR(LOOKUP(IF(L8="",H8,L8),{0,1,10,100,1000,2500,5000,10000,25000,50000,125000},{0,0.1,0.022,0.0088,0.00396,0.00344,0.00284,0.00247,0.00217,0.00199,0.00195}),"")</f>
        <v>0.1</v>
      </c>
      <c r="N8" s="6">
        <f>IFERROR(IF(L8="",H8,L8)*M8,"")</f>
        <v>0.5</v>
      </c>
      <c r="O8" t="s">
        <v>264</v>
      </c>
      <c r="P8" s="7" t="s">
        <v>263</v>
      </c>
      <c r="Q8">
        <v>15239</v>
      </c>
      <c r="S8" s="6">
        <f>IFERROR(LOOKUP(IF(R8="",H8,R8),{0,1,10,100,1000,5000,25000},{0,0.1,0.017,0.006,0.004,0.004,0.002}),"")</f>
        <v>0.1</v>
      </c>
      <c r="T8" s="6">
        <f>IFERROR(IF(R8="",H8,R8)*S8,"")</f>
        <v>0.5</v>
      </c>
      <c r="U8" t="s">
        <v>315</v>
      </c>
      <c r="V8" s="7" t="s">
        <v>263</v>
      </c>
    </row>
    <row r="9" spans="1:22">
      <c r="A9" t="s">
        <v>19</v>
      </c>
      <c r="B9" t="s">
        <v>21</v>
      </c>
      <c r="E9" t="s">
        <v>20</v>
      </c>
      <c r="H9">
        <f t="shared" si="0"/>
        <v>5</v>
      </c>
      <c r="I9" s="6">
        <f t="shared" ca="1" si="1"/>
        <v>0</v>
      </c>
      <c r="J9" s="6">
        <f t="shared" ca="1" si="2"/>
        <v>0</v>
      </c>
    </row>
    <row r="10" spans="1:22">
      <c r="A10" t="s">
        <v>22</v>
      </c>
      <c r="B10" t="s">
        <v>26</v>
      </c>
      <c r="E10" t="s">
        <v>25</v>
      </c>
      <c r="F10" t="s">
        <v>24</v>
      </c>
      <c r="G10" t="s">
        <v>23</v>
      </c>
      <c r="H10">
        <f t="shared" si="0"/>
        <v>5</v>
      </c>
      <c r="I10" s="6">
        <f t="shared" ca="1" si="1"/>
        <v>0.18445</v>
      </c>
      <c r="J10" s="6">
        <f t="shared" ca="1" si="2"/>
        <v>0.92225000000000001</v>
      </c>
      <c r="M10" s="6">
        <f>IFERROR(LOOKUP(IF(L10="",H10,L10),{0,1,3000},{0,0.18445,0.18445}),"")</f>
        <v>0.18445</v>
      </c>
      <c r="N10" s="6">
        <f>IFERROR(IF(L10="",H10,L10)*M10,"")</f>
        <v>0.92225000000000001</v>
      </c>
      <c r="O10" t="s">
        <v>265</v>
      </c>
      <c r="P10" s="7" t="s">
        <v>263</v>
      </c>
      <c r="Q10">
        <v>56085</v>
      </c>
      <c r="S10" s="6">
        <f>IFERROR(LOOKUP(IF(R10="",H10,R10),{0,1,10,100,1000,3000,9000},{0,0.512,0.432,0.263,0.203,0.173,0.162}),"")</f>
        <v>0.51200000000000001</v>
      </c>
      <c r="T10" s="6">
        <f>IFERROR(IF(R10="",H10,R10)*S10,"")</f>
        <v>2.56</v>
      </c>
      <c r="U10" t="s">
        <v>316</v>
      </c>
      <c r="V10" s="7" t="s">
        <v>263</v>
      </c>
    </row>
    <row r="11" spans="1:22">
      <c r="A11" t="s">
        <v>27</v>
      </c>
      <c r="B11" t="s">
        <v>28</v>
      </c>
      <c r="E11" t="s">
        <v>29</v>
      </c>
      <c r="F11" t="s">
        <v>24</v>
      </c>
      <c r="G11" t="s">
        <v>28</v>
      </c>
      <c r="H11">
        <f t="shared" si="0"/>
        <v>5</v>
      </c>
      <c r="I11" s="6">
        <f t="shared" ca="1" si="1"/>
        <v>0.57199999999999995</v>
      </c>
      <c r="J11" s="6">
        <f t="shared" ca="1" si="2"/>
        <v>2.86</v>
      </c>
      <c r="K11">
        <v>4979</v>
      </c>
      <c r="M11" s="6">
        <f>IFERROR(LOOKUP(IF(L11="",H11,L11),{0,1,10,100,500,1000,4000,8000,12000},{0,0.58,0.513,0.3935,0.31106,0.24885,0.21895,0.20385,0.1963}),"")</f>
        <v>0.57999999999999996</v>
      </c>
      <c r="N11" s="6">
        <f>IFERROR(IF(L11="",H11,L11)*M11,"")</f>
        <v>2.9</v>
      </c>
      <c r="O11" t="s">
        <v>266</v>
      </c>
      <c r="P11" s="7" t="s">
        <v>263</v>
      </c>
      <c r="Q11">
        <v>9891</v>
      </c>
      <c r="S11" s="6">
        <f>IFERROR(LOOKUP(IF(R11="",H11,R11),{0,1,10,100,1000,2000,4000,8000,24000},{0,0.572,0.471,0.303,0.243,0.219,0.204,0.197,0.196}),"")</f>
        <v>0.57199999999999995</v>
      </c>
      <c r="T11" s="6">
        <f>IFERROR(IF(R11="",H11,R11)*S11,"")</f>
        <v>2.86</v>
      </c>
      <c r="U11" t="s">
        <v>317</v>
      </c>
      <c r="V11" s="7" t="s">
        <v>263</v>
      </c>
    </row>
    <row r="12" spans="1:22">
      <c r="A12" t="s">
        <v>30</v>
      </c>
      <c r="B12" t="s">
        <v>34</v>
      </c>
      <c r="E12" t="s">
        <v>33</v>
      </c>
      <c r="F12" t="s">
        <v>32</v>
      </c>
      <c r="G12" t="s">
        <v>31</v>
      </c>
      <c r="H12">
        <f t="shared" si="0"/>
        <v>5</v>
      </c>
      <c r="I12" s="6">
        <f t="shared" ca="1" si="1"/>
        <v>0.42</v>
      </c>
      <c r="J12" s="6">
        <f t="shared" ca="1" si="2"/>
        <v>2.1</v>
      </c>
      <c r="K12">
        <v>1160</v>
      </c>
      <c r="M12" s="6">
        <f>IFERROR(LOOKUP(IF(L12="",H12,L12),{0,1,10,25,100,250,500,1000,3000,6000,15000,30000},{0,0.42,0.328,0.2764,0.2248,0.18628,0.15418,0.11563,0.11227,0.10603,0.09667,0.09044}),"")</f>
        <v>0.42</v>
      </c>
      <c r="N12" s="6">
        <f>IFERROR(IF(L12="",H12,L12)*M12,"")</f>
        <v>2.1</v>
      </c>
      <c r="O12" t="s">
        <v>267</v>
      </c>
      <c r="P12" s="7" t="s">
        <v>263</v>
      </c>
    </row>
    <row r="13" spans="1:22">
      <c r="A13" t="s">
        <v>35</v>
      </c>
      <c r="B13" t="s">
        <v>38</v>
      </c>
      <c r="D13" t="s">
        <v>37</v>
      </c>
      <c r="E13" t="s">
        <v>17</v>
      </c>
      <c r="F13" t="s">
        <v>16</v>
      </c>
      <c r="G13" t="s">
        <v>36</v>
      </c>
      <c r="H13">
        <f t="shared" si="0"/>
        <v>5</v>
      </c>
      <c r="I13" s="6">
        <f t="shared" ca="1" si="1"/>
        <v>0.1</v>
      </c>
      <c r="J13" s="6">
        <f t="shared" ca="1" si="2"/>
        <v>0.5</v>
      </c>
      <c r="K13">
        <v>309331</v>
      </c>
      <c r="M13" s="6">
        <f>IFERROR(LOOKUP(IF(L13="",H13,L13),{0,1,10,100,1000,2500,5000,10000,25000,50000,125000},{0,0.1,0.023,0.0095,0.00427,0.0037,0.00277,0.00241,0.00212,0.00194,0.0019}),"")</f>
        <v>0.1</v>
      </c>
      <c r="N13" s="6">
        <f>IFERROR(IF(L13="",H13,L13)*M13,"")</f>
        <v>0.5</v>
      </c>
      <c r="O13" t="s">
        <v>268</v>
      </c>
      <c r="P13" s="7" t="s">
        <v>263</v>
      </c>
    </row>
    <row r="14" spans="1:22">
      <c r="A14" t="s">
        <v>39</v>
      </c>
      <c r="B14" t="s">
        <v>44</v>
      </c>
      <c r="D14" t="s">
        <v>41</v>
      </c>
      <c r="E14" t="s">
        <v>43</v>
      </c>
      <c r="F14" t="s">
        <v>42</v>
      </c>
      <c r="G14" t="s">
        <v>40</v>
      </c>
      <c r="H14">
        <f t="shared" si="0"/>
        <v>5</v>
      </c>
      <c r="I14" s="6">
        <f t="shared" ca="1" si="1"/>
        <v>0.1</v>
      </c>
      <c r="J14" s="6">
        <f t="shared" ca="1" si="2"/>
        <v>0.5</v>
      </c>
      <c r="K14">
        <v>86478</v>
      </c>
      <c r="M14" s="6">
        <f>IFERROR(LOOKUP(IF(L14="",H14,L14),{0,1,10,100,500,1000,2500,4000,5000,8000,10000,12000,20000,30000},{0,0.1,0.065,0.0292,0.02082,0.01637,0.01488,0.01189,0.01369,0.01086,0.01086,0.01034,0.01034,0.00982}),"")</f>
        <v>0.1</v>
      </c>
      <c r="N14" s="6">
        <f>IFERROR(IF(L14="",H14,L14)*M14,"")</f>
        <v>0.5</v>
      </c>
      <c r="O14" t="s">
        <v>269</v>
      </c>
      <c r="P14" s="7" t="s">
        <v>263</v>
      </c>
    </row>
    <row r="15" spans="1:22">
      <c r="A15" t="s">
        <v>45</v>
      </c>
      <c r="B15" t="s">
        <v>47</v>
      </c>
      <c r="E15" t="s">
        <v>46</v>
      </c>
      <c r="H15">
        <f t="shared" si="0"/>
        <v>5</v>
      </c>
      <c r="I15" s="6">
        <f t="shared" ca="1" si="1"/>
        <v>0</v>
      </c>
      <c r="J15" s="6">
        <f t="shared" ca="1" si="2"/>
        <v>0</v>
      </c>
    </row>
    <row r="16" spans="1:22">
      <c r="A16" t="s">
        <v>48</v>
      </c>
      <c r="B16" t="s">
        <v>52</v>
      </c>
      <c r="E16" t="s">
        <v>51</v>
      </c>
      <c r="F16" t="s">
        <v>50</v>
      </c>
      <c r="G16" t="s">
        <v>49</v>
      </c>
      <c r="H16">
        <f t="shared" si="0"/>
        <v>5</v>
      </c>
      <c r="I16" s="6">
        <f t="shared" ca="1" si="1"/>
        <v>1.48</v>
      </c>
      <c r="J16" s="6">
        <f t="shared" ca="1" si="2"/>
        <v>7.4</v>
      </c>
      <c r="K16">
        <v>13958</v>
      </c>
      <c r="M16" s="6">
        <f>IFERROR(LOOKUP(IF(L16="",H16,L16),{0,1,10,100,500,1000,5000,10000},{0,1.84,1.666,1.428,1.19,1.02,0.9044,0.884}),"")</f>
        <v>1.84</v>
      </c>
      <c r="N16" s="6">
        <f t="shared" ref="N16:N23" si="3">IFERROR(IF(L16="",H16,L16)*M16,"")</f>
        <v>9.2000000000000011</v>
      </c>
      <c r="O16" t="s">
        <v>270</v>
      </c>
      <c r="P16" s="7" t="s">
        <v>263</v>
      </c>
      <c r="Q16">
        <v>13226</v>
      </c>
      <c r="S16" s="6">
        <f>IFERROR(LOOKUP(IF(R16="",H16,R16),{0,1,25,50,100,200,500,1000},{0,1.48,1.29,1.14,1.07,0.981,0.905,0.801}),"")</f>
        <v>1.48</v>
      </c>
      <c r="T16" s="6">
        <f>IFERROR(IF(R16="",H16,R16)*S16,"")</f>
        <v>7.4</v>
      </c>
      <c r="U16" t="s">
        <v>318</v>
      </c>
      <c r="V16" s="7" t="s">
        <v>263</v>
      </c>
    </row>
    <row r="17" spans="1:22">
      <c r="A17" t="s">
        <v>53</v>
      </c>
      <c r="B17" t="s">
        <v>57</v>
      </c>
      <c r="E17" t="s">
        <v>56</v>
      </c>
      <c r="F17" t="s">
        <v>55</v>
      </c>
      <c r="G17" t="s">
        <v>54</v>
      </c>
      <c r="H17">
        <f t="shared" si="0"/>
        <v>5</v>
      </c>
      <c r="I17" s="6">
        <f t="shared" ca="1" si="1"/>
        <v>0.56000000000000005</v>
      </c>
      <c r="J17" s="6">
        <f t="shared" ca="1" si="2"/>
        <v>2.8000000000000003</v>
      </c>
      <c r="K17">
        <v>2539</v>
      </c>
      <c r="M17" s="6">
        <f>IFERROR(LOOKUP(IF(L17="",H17,L17),{0,1,25,100,1176,5000},{0,0.56,0.406,0.371,0.59063,0.59063}),"")</f>
        <v>0.56000000000000005</v>
      </c>
      <c r="N17" s="6">
        <f t="shared" si="3"/>
        <v>2.8000000000000003</v>
      </c>
      <c r="O17" t="s">
        <v>271</v>
      </c>
      <c r="P17" s="7" t="s">
        <v>263</v>
      </c>
    </row>
    <row r="18" spans="1:22">
      <c r="A18" t="s">
        <v>58</v>
      </c>
      <c r="B18" t="s">
        <v>62</v>
      </c>
      <c r="E18" t="s">
        <v>61</v>
      </c>
      <c r="F18" t="s">
        <v>60</v>
      </c>
      <c r="G18" t="s">
        <v>59</v>
      </c>
      <c r="H18">
        <f t="shared" si="0"/>
        <v>5</v>
      </c>
      <c r="I18" s="6">
        <f t="shared" ca="1" si="1"/>
        <v>0.43</v>
      </c>
      <c r="J18" s="6">
        <f t="shared" ca="1" si="2"/>
        <v>2.15</v>
      </c>
      <c r="K18">
        <v>15649</v>
      </c>
      <c r="M18" s="6">
        <f>IFERROR(LOOKUP(IF(L18="",H18,L18),{0,1,10,50,100,250,500,1000},{0,0.43,0.414,0.396,0.3852,0.36,0.3312,0.306}),"")</f>
        <v>0.43</v>
      </c>
      <c r="N18" s="6">
        <f t="shared" si="3"/>
        <v>2.15</v>
      </c>
      <c r="O18" t="s">
        <v>272</v>
      </c>
      <c r="P18" s="7" t="s">
        <v>263</v>
      </c>
      <c r="Q18">
        <v>7214</v>
      </c>
      <c r="S18" s="6">
        <f>IFERROR(LOOKUP(IF(R18="",H18,R18),{0,1,10,25,50,100,250,500,1000},{0,0.432,0.414,0.402,0.398,0.386,0.361,0.332,0.319}),"")</f>
        <v>0.432</v>
      </c>
      <c r="T18" s="6">
        <f>IFERROR(IF(R18="",H18,R18)*S18,"")</f>
        <v>2.16</v>
      </c>
      <c r="U18" t="s">
        <v>319</v>
      </c>
      <c r="V18" s="7" t="s">
        <v>263</v>
      </c>
    </row>
    <row r="19" spans="1:22">
      <c r="A19" t="s">
        <v>63</v>
      </c>
      <c r="B19" t="s">
        <v>65</v>
      </c>
      <c r="E19" t="s">
        <v>43</v>
      </c>
      <c r="F19" t="s">
        <v>42</v>
      </c>
      <c r="G19" t="s">
        <v>64</v>
      </c>
      <c r="H19">
        <f t="shared" si="0"/>
        <v>5</v>
      </c>
      <c r="I19" s="6">
        <f t="shared" ca="1" si="1"/>
        <v>0.13</v>
      </c>
      <c r="J19" s="6">
        <f t="shared" ca="1" si="2"/>
        <v>0.65</v>
      </c>
      <c r="K19">
        <v>141742</v>
      </c>
      <c r="M19" s="6">
        <f>IFERROR(LOOKUP(IF(L19="",H19,L19),{0,1,10,100,500,1000,4000,8000,12000},{0,0.13,0.094,0.044,0.03086,0.02555,0.01892,0.0176,0.01672}),"")</f>
        <v>0.13</v>
      </c>
      <c r="N19" s="6">
        <f t="shared" si="3"/>
        <v>0.65</v>
      </c>
      <c r="O19" t="s">
        <v>273</v>
      </c>
      <c r="P19" s="7" t="s">
        <v>263</v>
      </c>
    </row>
    <row r="20" spans="1:22">
      <c r="A20" t="s">
        <v>66</v>
      </c>
      <c r="B20" t="s">
        <v>68</v>
      </c>
      <c r="E20" t="s">
        <v>17</v>
      </c>
      <c r="F20" t="s">
        <v>16</v>
      </c>
      <c r="G20" t="s">
        <v>67</v>
      </c>
      <c r="H20">
        <f t="shared" si="0"/>
        <v>5</v>
      </c>
      <c r="I20" s="6">
        <f t="shared" ca="1" si="1"/>
        <v>0.1</v>
      </c>
      <c r="J20" s="6">
        <f t="shared" ca="1" si="2"/>
        <v>0.5</v>
      </c>
      <c r="K20">
        <v>174315</v>
      </c>
      <c r="M20" s="6">
        <f>IFERROR(LOOKUP(IF(L20="",H20,L20),{0,1,10,100,1000,2500,5000,10000,25000,50000,125000},{0,0.1,0.022,0.0088,0.00396,0.00344,0.00284,0.00247,0.00217,0.00199,0.00195}),"")</f>
        <v>0.1</v>
      </c>
      <c r="N20" s="6">
        <f t="shared" si="3"/>
        <v>0.5</v>
      </c>
      <c r="O20" t="s">
        <v>274</v>
      </c>
      <c r="P20" s="7" t="s">
        <v>263</v>
      </c>
      <c r="Q20">
        <v>40681</v>
      </c>
      <c r="S20" s="6">
        <f>IFERROR(LOOKUP(IF(R20="",H20,R20),{0,1,10,100,1000,5000,25000},{0,0.1,0.017,0.006,0.004,0.004,0.002}),"")</f>
        <v>0.1</v>
      </c>
      <c r="T20" s="6">
        <f>IFERROR(IF(R20="",H20,R20)*S20,"")</f>
        <v>0.5</v>
      </c>
      <c r="U20" t="s">
        <v>320</v>
      </c>
      <c r="V20" s="7" t="s">
        <v>263</v>
      </c>
    </row>
    <row r="21" spans="1:22">
      <c r="A21" t="s">
        <v>69</v>
      </c>
      <c r="B21" t="s">
        <v>73</v>
      </c>
      <c r="E21" t="s">
        <v>72</v>
      </c>
      <c r="F21" t="s">
        <v>71</v>
      </c>
      <c r="G21" t="s">
        <v>70</v>
      </c>
      <c r="H21">
        <f t="shared" si="0"/>
        <v>5</v>
      </c>
      <c r="I21" s="6">
        <f t="shared" ca="1" si="1"/>
        <v>0.27</v>
      </c>
      <c r="J21" s="6">
        <f t="shared" ca="1" si="2"/>
        <v>1.35</v>
      </c>
      <c r="K21">
        <v>911</v>
      </c>
      <c r="M21" s="6">
        <f>IFERROR(LOOKUP(IF(L21="",H21,L21),{0,1,10,100,500,1000},{0,0.27,0.252,0.2258,0.1974,0.168}),"")</f>
        <v>0.27</v>
      </c>
      <c r="N21" s="6">
        <f t="shared" si="3"/>
        <v>1.35</v>
      </c>
      <c r="O21" t="s">
        <v>275</v>
      </c>
      <c r="P21" s="7" t="s">
        <v>263</v>
      </c>
    </row>
    <row r="22" spans="1:22">
      <c r="A22" t="s">
        <v>74</v>
      </c>
      <c r="B22" t="s">
        <v>77</v>
      </c>
      <c r="D22" t="s">
        <v>41</v>
      </c>
      <c r="E22" t="s">
        <v>76</v>
      </c>
      <c r="F22" t="s">
        <v>16</v>
      </c>
      <c r="G22" t="s">
        <v>75</v>
      </c>
      <c r="H22">
        <f t="shared" si="0"/>
        <v>5</v>
      </c>
      <c r="I22" s="6">
        <f t="shared" ca="1" si="1"/>
        <v>0.1</v>
      </c>
      <c r="J22" s="6">
        <f t="shared" ca="1" si="2"/>
        <v>0.5</v>
      </c>
      <c r="K22">
        <v>11252691</v>
      </c>
      <c r="M22" s="6">
        <f>IFERROR(LOOKUP(IF(L22="",H22,L22),{0,1,10,25,50,100,250,500,1000,5000,10000,25000,50000,125000},{0,0.1,0.01,0.0072,0.0056,0.0041,0.00316,0.00252,0.00186,0.00122,0.00106,0.00093,0.00085,0.00083}),"")</f>
        <v>0.1</v>
      </c>
      <c r="N22" s="6">
        <f t="shared" si="3"/>
        <v>0.5</v>
      </c>
      <c r="O22" t="s">
        <v>276</v>
      </c>
      <c r="P22" s="7" t="s">
        <v>263</v>
      </c>
      <c r="Q22">
        <v>1127807</v>
      </c>
      <c r="S22" s="6">
        <f>IFERROR(LOOKUP(IF(R22="",H22,R22),{0,1,10,100,1000,5000},{0,0.1,0.008,0.002,0.001,0.001}),"")</f>
        <v>0.1</v>
      </c>
      <c r="T22" s="6">
        <f>IFERROR(IF(R22="",H22,R22)*S22,"")</f>
        <v>0.5</v>
      </c>
      <c r="U22" t="s">
        <v>321</v>
      </c>
      <c r="V22" s="7" t="s">
        <v>263</v>
      </c>
    </row>
    <row r="23" spans="1:22">
      <c r="A23" t="s">
        <v>78</v>
      </c>
      <c r="B23" t="s">
        <v>81</v>
      </c>
      <c r="E23" t="s">
        <v>80</v>
      </c>
      <c r="F23" t="s">
        <v>60</v>
      </c>
      <c r="G23" t="s">
        <v>79</v>
      </c>
      <c r="H23">
        <f>BoardQty*5</f>
        <v>25</v>
      </c>
      <c r="I23" s="6">
        <f t="shared" ca="1" si="1"/>
        <v>0.79300000000000004</v>
      </c>
      <c r="J23" s="6">
        <f t="shared" ca="1" si="2"/>
        <v>19.824999999999999</v>
      </c>
      <c r="K23">
        <v>3312</v>
      </c>
      <c r="M23" s="6">
        <f>IFERROR(LOOKUP(IF(L23="",H23,L23),{0,1,10,50,100,250,500,1000},{0,0.85,0.817,0.781,0.7597,0.71,0.6532,0.6035}),"")</f>
        <v>0.81699999999999995</v>
      </c>
      <c r="N23" s="6">
        <f t="shared" si="3"/>
        <v>20.424999999999997</v>
      </c>
      <c r="O23" t="s">
        <v>277</v>
      </c>
      <c r="P23" s="7" t="s">
        <v>263</v>
      </c>
      <c r="Q23">
        <v>4060</v>
      </c>
      <c r="S23" s="6">
        <f>IFERROR(LOOKUP(IF(R23="",H23,R23),{0,1,10,25,50,100,250,500,1000},{0,0.853,0.818,0.793,0.784,0.761,0.713,0.655,0.629}),"")</f>
        <v>0.79300000000000004</v>
      </c>
      <c r="T23" s="6">
        <f>IFERROR(IF(R23="",H23,R23)*S23,"")</f>
        <v>19.824999999999999</v>
      </c>
      <c r="U23" t="s">
        <v>322</v>
      </c>
      <c r="V23" s="7" t="s">
        <v>263</v>
      </c>
    </row>
    <row r="24" spans="1:22">
      <c r="A24" t="s">
        <v>82</v>
      </c>
      <c r="B24" t="s">
        <v>84</v>
      </c>
      <c r="D24" t="s">
        <v>41</v>
      </c>
      <c r="E24" t="s">
        <v>83</v>
      </c>
      <c r="H24">
        <f>BoardQty*1</f>
        <v>5</v>
      </c>
      <c r="I24" s="6">
        <f t="shared" ca="1" si="1"/>
        <v>0</v>
      </c>
      <c r="J24" s="6">
        <f t="shared" ca="1" si="2"/>
        <v>0</v>
      </c>
    </row>
    <row r="25" spans="1:22">
      <c r="A25" t="s">
        <v>85</v>
      </c>
      <c r="B25" t="s">
        <v>89</v>
      </c>
      <c r="E25" t="s">
        <v>88</v>
      </c>
      <c r="F25" t="s">
        <v>87</v>
      </c>
      <c r="G25" t="s">
        <v>86</v>
      </c>
      <c r="H25">
        <f>BoardQty*1</f>
        <v>5</v>
      </c>
      <c r="I25" s="6">
        <f t="shared" ca="1" si="1"/>
        <v>0.67300000000000004</v>
      </c>
      <c r="J25" s="6">
        <f t="shared" ca="1" si="2"/>
        <v>3.3650000000000002</v>
      </c>
      <c r="K25">
        <v>91142</v>
      </c>
      <c r="M25" s="6">
        <f>IFERROR(LOOKUP(IF(L25="",H25,L25),{0,1,10,25,50,100,250,500,1500,3000,7500,10500,15000},{0,0.73,0.683,0.6152,0.5468,0.524,0.4784,0.45562,0.33136,0.31065,0.30029,0.27958,0.27544}),"")</f>
        <v>0.73</v>
      </c>
      <c r="N25" s="6">
        <f>IFERROR(IF(L25="",H25,L25)*M25,"")</f>
        <v>3.65</v>
      </c>
      <c r="O25" t="s">
        <v>278</v>
      </c>
      <c r="P25" s="7" t="s">
        <v>263</v>
      </c>
      <c r="Q25">
        <v>59077</v>
      </c>
      <c r="S25" s="6">
        <f>IFERROR(LOOKUP(IF(R25="",H25,R25),{0,1,10,100,500,1500},{0,0.673,0.499,0.478,0.417,0.375}),"")</f>
        <v>0.67300000000000004</v>
      </c>
      <c r="T25" s="6">
        <f>IFERROR(IF(R25="",H25,R25)*S25,"")</f>
        <v>3.3650000000000002</v>
      </c>
      <c r="U25" t="s">
        <v>323</v>
      </c>
      <c r="V25" s="7" t="s">
        <v>263</v>
      </c>
    </row>
    <row r="26" spans="1:22">
      <c r="A26" t="s">
        <v>90</v>
      </c>
      <c r="B26" t="s">
        <v>92</v>
      </c>
      <c r="E26" t="s">
        <v>17</v>
      </c>
      <c r="F26" t="s">
        <v>16</v>
      </c>
      <c r="G26" t="s">
        <v>91</v>
      </c>
      <c r="H26">
        <f>BoardQty*1</f>
        <v>5</v>
      </c>
      <c r="I26" s="6">
        <f t="shared" ca="1" si="1"/>
        <v>0.1</v>
      </c>
      <c r="J26" s="6">
        <f t="shared" ca="1" si="2"/>
        <v>0.5</v>
      </c>
      <c r="K26">
        <v>73222</v>
      </c>
      <c r="M26" s="6">
        <f>IFERROR(LOOKUP(IF(L26="",H26,L26),{0,1,10,100,1000,2500,5000,10000,25000,50000,125000},{0,0.1,0.022,0.0088,0.00396,0.00344,0.00284,0.00247,0.00217,0.00199,0.00195}),"")</f>
        <v>0.1</v>
      </c>
      <c r="N26" s="6">
        <f>IFERROR(IF(L26="",H26,L26)*M26,"")</f>
        <v>0.5</v>
      </c>
      <c r="O26" t="s">
        <v>279</v>
      </c>
      <c r="P26" s="7" t="s">
        <v>263</v>
      </c>
    </row>
    <row r="27" spans="1:22">
      <c r="A27" t="s">
        <v>93</v>
      </c>
      <c r="B27" t="s">
        <v>96</v>
      </c>
      <c r="E27" t="s">
        <v>17</v>
      </c>
      <c r="F27" t="s">
        <v>95</v>
      </c>
      <c r="G27" t="s">
        <v>94</v>
      </c>
      <c r="H27">
        <f>BoardQty*1</f>
        <v>5</v>
      </c>
      <c r="I27" s="6">
        <f t="shared" ca="1" si="1"/>
        <v>0.11</v>
      </c>
      <c r="J27" s="6">
        <f t="shared" ca="1" si="2"/>
        <v>0.55000000000000004</v>
      </c>
      <c r="K27">
        <v>268519</v>
      </c>
      <c r="M27" s="6">
        <f>IFERROR(LOOKUP(IF(L27="",H27,L27),{0,1,10,25,50,100,250,500,1000,4000,8000,12000,28000,100000},{0,0.11,0.091,0.0704,0.0584,0.0503,0.04028,0.03624,0.0302,0.02745,0.02562,0.02379,0.02352,0.02288}),"")</f>
        <v>0.11</v>
      </c>
      <c r="N27" s="6">
        <f>IFERROR(IF(L27="",H27,L27)*M27,"")</f>
        <v>0.55000000000000004</v>
      </c>
      <c r="O27" t="s">
        <v>280</v>
      </c>
      <c r="P27" s="7" t="s">
        <v>263</v>
      </c>
    </row>
    <row r="28" spans="1:22">
      <c r="A28" t="s">
        <v>97</v>
      </c>
      <c r="B28" t="s">
        <v>98</v>
      </c>
      <c r="D28" t="s">
        <v>41</v>
      </c>
      <c r="E28" t="s">
        <v>17</v>
      </c>
      <c r="H28">
        <f>BoardQty*2</f>
        <v>10</v>
      </c>
      <c r="I28" s="6">
        <f t="shared" ca="1" si="1"/>
        <v>0</v>
      </c>
      <c r="J28" s="6">
        <f t="shared" ca="1" si="2"/>
        <v>0</v>
      </c>
    </row>
    <row r="29" spans="1:22">
      <c r="A29" t="s">
        <v>99</v>
      </c>
      <c r="B29" t="s">
        <v>103</v>
      </c>
      <c r="D29" t="s">
        <v>41</v>
      </c>
      <c r="E29" t="s">
        <v>102</v>
      </c>
      <c r="F29" t="s">
        <v>101</v>
      </c>
      <c r="G29" t="s">
        <v>100</v>
      </c>
      <c r="H29">
        <f>BoardQty*2</f>
        <v>10</v>
      </c>
      <c r="I29" s="6">
        <f t="shared" ca="1" si="1"/>
        <v>0.13600000000000001</v>
      </c>
      <c r="J29" s="6">
        <f t="shared" ca="1" si="2"/>
        <v>1.36</v>
      </c>
      <c r="K29">
        <v>270027</v>
      </c>
      <c r="M29" s="6">
        <f>IFERROR(LOOKUP(IF(L29="",H29,L29),{0,1,10,100,500,1000,2000,3000,4000,6000,9000,10000},{0,0.2,0.136,0.069,0.0472,0.04175,0.03993,0.02396,0.0363,0.02192,0.02039,0.02039}),"")</f>
        <v>0.13600000000000001</v>
      </c>
      <c r="N29" s="6">
        <f>IFERROR(IF(L29="",H29,L29)*M29,"")</f>
        <v>1.36</v>
      </c>
      <c r="O29" t="s">
        <v>281</v>
      </c>
      <c r="P29" s="7" t="s">
        <v>263</v>
      </c>
    </row>
    <row r="30" spans="1:22">
      <c r="A30" t="s">
        <v>104</v>
      </c>
      <c r="B30" t="s">
        <v>109</v>
      </c>
      <c r="D30" t="s">
        <v>106</v>
      </c>
      <c r="E30" t="s">
        <v>108</v>
      </c>
      <c r="F30" t="s">
        <v>107</v>
      </c>
      <c r="G30" t="s">
        <v>105</v>
      </c>
      <c r="H30">
        <f>BoardQty*4</f>
        <v>20</v>
      </c>
      <c r="I30" s="6">
        <f t="shared" ca="1" si="1"/>
        <v>1.1499999999999999</v>
      </c>
      <c r="J30" s="6">
        <f t="shared" ca="1" si="2"/>
        <v>23</v>
      </c>
      <c r="K30">
        <v>697</v>
      </c>
      <c r="M30" s="6">
        <f>IFERROR(LOOKUP(IF(L30="",H30,L30),{0,1,10,100,500,1000,2500,5000,12500},{0,1.56,1.232,0.9237,0.6069,0.5355,0.4998,0.48195,0.4624}),"")</f>
        <v>1.232</v>
      </c>
      <c r="N30" s="6">
        <f>IFERROR(IF(L30="",H30,L30)*M30,"")</f>
        <v>24.64</v>
      </c>
      <c r="O30" t="s">
        <v>282</v>
      </c>
      <c r="P30" s="7" t="s">
        <v>263</v>
      </c>
      <c r="Q30">
        <v>1000</v>
      </c>
      <c r="S30" s="6">
        <f>IFERROR(LOOKUP(IF(R30="",H30,R30),{0,1,10,100,500,1000,2500,10000},{0,1.7,1.15,0.891,0.688,0.608,0.546,0.526}),"")</f>
        <v>1.1499999999999999</v>
      </c>
      <c r="T30" s="6">
        <f>IFERROR(IF(R30="",H30,R30)*S30,"")</f>
        <v>23</v>
      </c>
      <c r="U30" t="s">
        <v>324</v>
      </c>
      <c r="V30" s="7" t="s">
        <v>263</v>
      </c>
    </row>
    <row r="31" spans="1:22">
      <c r="A31" t="s">
        <v>110</v>
      </c>
      <c r="B31" t="s">
        <v>113</v>
      </c>
      <c r="D31" t="s">
        <v>112</v>
      </c>
      <c r="E31" t="s">
        <v>102</v>
      </c>
      <c r="F31" t="s">
        <v>101</v>
      </c>
      <c r="G31" t="s">
        <v>111</v>
      </c>
      <c r="H31">
        <f>BoardQty*1</f>
        <v>5</v>
      </c>
      <c r="I31" s="6">
        <f t="shared" ca="1" si="1"/>
        <v>0.1</v>
      </c>
      <c r="J31" s="6">
        <f t="shared" ca="1" si="2"/>
        <v>0.5</v>
      </c>
      <c r="K31">
        <v>23488</v>
      </c>
      <c r="M31" s="6">
        <f>IFERROR(LOOKUP(IF(L31="",H31,L31),{0,1,10,100,500,1000,2000,3000,4000,6000,9000,10000},{0,0.1,0.069,0.0306,0.02182,0.01715,0.02482,0.01559,0.02271,0.01435,0.0131,0.0131}),"")</f>
        <v>0.1</v>
      </c>
      <c r="N31" s="6">
        <f>IFERROR(IF(L31="",H31,L31)*M31,"")</f>
        <v>0.5</v>
      </c>
      <c r="O31" t="s">
        <v>283</v>
      </c>
      <c r="P31" s="7" t="s">
        <v>263</v>
      </c>
    </row>
    <row r="32" spans="1:22">
      <c r="A32" t="s">
        <v>114</v>
      </c>
      <c r="B32" t="s">
        <v>116</v>
      </c>
      <c r="E32" t="s">
        <v>115</v>
      </c>
      <c r="H32">
        <f>BoardQty*1</f>
        <v>5</v>
      </c>
      <c r="I32" s="6">
        <f t="shared" ca="1" si="1"/>
        <v>0</v>
      </c>
      <c r="J32" s="6">
        <f t="shared" ca="1" si="2"/>
        <v>0</v>
      </c>
    </row>
    <row r="33" spans="1:22">
      <c r="A33" t="s">
        <v>117</v>
      </c>
      <c r="B33" t="s">
        <v>119</v>
      </c>
      <c r="D33" t="s">
        <v>41</v>
      </c>
      <c r="E33" t="s">
        <v>76</v>
      </c>
      <c r="F33" t="s">
        <v>16</v>
      </c>
      <c r="G33" t="s">
        <v>118</v>
      </c>
      <c r="H33">
        <f>BoardQty*10</f>
        <v>50</v>
      </c>
      <c r="I33" s="6">
        <f t="shared" ca="1" si="1"/>
        <v>1.0999999999999999E-2</v>
      </c>
      <c r="J33" s="6">
        <f t="shared" ca="1" si="2"/>
        <v>0.54999999999999993</v>
      </c>
      <c r="K33">
        <v>775136</v>
      </c>
      <c r="M33" s="6">
        <f>IFERROR(LOOKUP(IF(L33="",H33,L33),{0,1,10,100,1000,2500,5000,10000,25000,50000,125000},{0,0.1,0.011,0.0046,0.00207,0.0018,0.00149,0.00129,0.00113,0.00104,0.00102}),"")</f>
        <v>1.0999999999999999E-2</v>
      </c>
      <c r="N33" s="6">
        <f>IFERROR(IF(L33="",H33,L33)*M33,"")</f>
        <v>0.54999999999999993</v>
      </c>
      <c r="O33" t="s">
        <v>284</v>
      </c>
      <c r="P33" s="7" t="s">
        <v>263</v>
      </c>
    </row>
    <row r="34" spans="1:22">
      <c r="A34" t="s">
        <v>120</v>
      </c>
      <c r="B34" t="s">
        <v>121</v>
      </c>
      <c r="E34" t="s">
        <v>122</v>
      </c>
      <c r="F34" t="s">
        <v>55</v>
      </c>
      <c r="G34" t="s">
        <v>121</v>
      </c>
      <c r="H34">
        <f>BoardQty*1</f>
        <v>5</v>
      </c>
      <c r="I34" s="6">
        <f t="shared" ca="1" si="1"/>
        <v>2.99</v>
      </c>
      <c r="J34" s="6">
        <f t="shared" ca="1" si="2"/>
        <v>14.950000000000001</v>
      </c>
      <c r="K34">
        <v>1932</v>
      </c>
      <c r="M34" s="6">
        <f>IFERROR(LOOKUP(IF(L34="",H34,L34),{0,1,25,100,2000},{0,2.99,2.7404,2.478,2.56202}),"")</f>
        <v>2.99</v>
      </c>
      <c r="N34" s="6">
        <f>IFERROR(IF(L34="",H34,L34)*M34,"")</f>
        <v>14.950000000000001</v>
      </c>
      <c r="O34" t="s">
        <v>285</v>
      </c>
      <c r="P34" s="7" t="s">
        <v>263</v>
      </c>
    </row>
    <row r="35" spans="1:22">
      <c r="A35" t="s">
        <v>123</v>
      </c>
      <c r="B35" t="s">
        <v>124</v>
      </c>
      <c r="D35" t="s">
        <v>41</v>
      </c>
      <c r="E35" t="s">
        <v>43</v>
      </c>
      <c r="H35">
        <f>BoardQty*3</f>
        <v>15</v>
      </c>
      <c r="I35" s="6">
        <f t="shared" ca="1" si="1"/>
        <v>0</v>
      </c>
      <c r="J35" s="6">
        <f t="shared" ca="1" si="2"/>
        <v>0</v>
      </c>
    </row>
    <row r="36" spans="1:22">
      <c r="A36" t="s">
        <v>125</v>
      </c>
      <c r="B36" t="s">
        <v>127</v>
      </c>
      <c r="E36" t="s">
        <v>17</v>
      </c>
      <c r="F36" t="s">
        <v>16</v>
      </c>
      <c r="G36" t="s">
        <v>126</v>
      </c>
      <c r="H36">
        <f>BoardQty*1</f>
        <v>5</v>
      </c>
      <c r="I36" s="6">
        <f t="shared" ca="1" si="1"/>
        <v>0.1</v>
      </c>
      <c r="J36" s="6">
        <f t="shared" ca="1" si="2"/>
        <v>0.5</v>
      </c>
      <c r="K36">
        <v>21890</v>
      </c>
      <c r="M36" s="6">
        <f>IFERROR(LOOKUP(IF(L36="",H36,L36),{0,1,10,100,1000,2500,5000,10000,25000,50000,125000},{0,0.1,0.022,0.0088,0.00396,0.00344,0.00284,0.00247,0.00217,0.00199,0.00195}),"")</f>
        <v>0.1</v>
      </c>
      <c r="N36" s="6">
        <f>IFERROR(IF(L36="",H36,L36)*M36,"")</f>
        <v>0.5</v>
      </c>
      <c r="O36" t="s">
        <v>286</v>
      </c>
      <c r="P36" s="7" t="s">
        <v>263</v>
      </c>
      <c r="Q36">
        <v>1941</v>
      </c>
      <c r="S36" s="6">
        <f>IFERROR(LOOKUP(IF(R36="",H36,R36),{0,1,10,100,1000,5000,25000},{0,0.1,0.017,0.006,0.004,0.004,0.002}),"")</f>
        <v>0.1</v>
      </c>
      <c r="T36" s="6">
        <f>IFERROR(IF(R36="",H36,R36)*S36,"")</f>
        <v>0.5</v>
      </c>
      <c r="U36" t="s">
        <v>325</v>
      </c>
      <c r="V36" s="7" t="s">
        <v>263</v>
      </c>
    </row>
    <row r="37" spans="1:22">
      <c r="A37" t="s">
        <v>128</v>
      </c>
      <c r="B37" t="s">
        <v>131</v>
      </c>
      <c r="E37" t="s">
        <v>130</v>
      </c>
      <c r="F37" t="s">
        <v>24</v>
      </c>
      <c r="G37" t="s">
        <v>129</v>
      </c>
      <c r="H37">
        <f>BoardQty*1</f>
        <v>5</v>
      </c>
      <c r="I37" s="6">
        <f t="shared" ca="1" si="1"/>
        <v>0.46</v>
      </c>
      <c r="J37" s="6">
        <f t="shared" ca="1" si="2"/>
        <v>2.3000000000000003</v>
      </c>
      <c r="K37">
        <v>28371</v>
      </c>
      <c r="M37" s="6">
        <f>IFERROR(LOOKUP(IF(L37="",H37,L37),{0,1,10,100,500,1000,2080,2500,5000,12500},{0,0.46,0.394,0.2942,0.23114,0.1786,0.18755,0.1581,0.1479,0.1377}),"")</f>
        <v>0.46</v>
      </c>
      <c r="N37" s="6">
        <f>IFERROR(IF(L37="",H37,L37)*M37,"")</f>
        <v>2.3000000000000003</v>
      </c>
      <c r="O37" t="s">
        <v>287</v>
      </c>
      <c r="P37" s="7" t="s">
        <v>263</v>
      </c>
    </row>
    <row r="38" spans="1:22">
      <c r="A38" t="s">
        <v>132</v>
      </c>
      <c r="B38" t="s">
        <v>134</v>
      </c>
      <c r="E38" t="s">
        <v>102</v>
      </c>
      <c r="F38" t="s">
        <v>16</v>
      </c>
      <c r="G38" t="s">
        <v>133</v>
      </c>
      <c r="H38">
        <f>BoardQty*1</f>
        <v>5</v>
      </c>
      <c r="I38" s="6">
        <f t="shared" ca="1" si="1"/>
        <v>0.1</v>
      </c>
      <c r="J38" s="6">
        <f t="shared" ca="1" si="2"/>
        <v>0.5</v>
      </c>
      <c r="K38">
        <v>367409</v>
      </c>
      <c r="M38" s="6">
        <f>IFERROR(LOOKUP(IF(L38="",H38,L38),{0,1,10,100,500,1000,4000,8000,12000},{0,0.1,0.052,0.023,0.01642,0.0129,0.00942,0.0086,0.00819}),"")</f>
        <v>0.1</v>
      </c>
      <c r="N38" s="6">
        <f>IFERROR(IF(L38="",H38,L38)*M38,"")</f>
        <v>0.5</v>
      </c>
      <c r="O38" t="s">
        <v>288</v>
      </c>
      <c r="P38" s="7" t="s">
        <v>263</v>
      </c>
      <c r="Q38">
        <v>31315</v>
      </c>
      <c r="S38" s="6">
        <f>IFERROR(LOOKUP(IF(R38="",H38,R38),{0,1,10,100,1000,4000,8000,100000},{0,0.1,0.032,0.014,0.011,0.008,0.007,0.005}),"")</f>
        <v>0.1</v>
      </c>
      <c r="T38" s="6">
        <f>IFERROR(IF(R38="",H38,R38)*S38,"")</f>
        <v>0.5</v>
      </c>
      <c r="U38" t="s">
        <v>326</v>
      </c>
      <c r="V38" s="7" t="s">
        <v>263</v>
      </c>
    </row>
    <row r="39" spans="1:22">
      <c r="A39" t="s">
        <v>135</v>
      </c>
      <c r="B39" t="s">
        <v>137</v>
      </c>
      <c r="E39" t="s">
        <v>136</v>
      </c>
      <c r="H39">
        <f>BoardQty*1</f>
        <v>5</v>
      </c>
      <c r="I39" s="6">
        <f t="shared" ref="I39:I70" ca="1" si="4">MINA(INDIRECT(ADDRESS(ROW(),COLUMN(digikey_part_data)+2)),INDIRECT(ADDRESS(ROW(),COLUMN(mouser_part_data)+2)))</f>
        <v>0</v>
      </c>
      <c r="J39" s="6">
        <f t="shared" ref="J39:J70" ca="1" si="5">IFERROR(H39*I39,"")</f>
        <v>0</v>
      </c>
    </row>
    <row r="40" spans="1:22">
      <c r="A40" t="s">
        <v>138</v>
      </c>
      <c r="B40" t="s">
        <v>140</v>
      </c>
      <c r="E40" t="s">
        <v>76</v>
      </c>
      <c r="F40" t="s">
        <v>16</v>
      </c>
      <c r="G40" t="s">
        <v>139</v>
      </c>
      <c r="H40">
        <f>BoardQty*4</f>
        <v>20</v>
      </c>
      <c r="I40" s="6">
        <f t="shared" ca="1" si="4"/>
        <v>1.0999999999999999E-2</v>
      </c>
      <c r="J40" s="6">
        <f t="shared" ca="1" si="5"/>
        <v>0.21999999999999997</v>
      </c>
      <c r="K40">
        <v>4007343</v>
      </c>
      <c r="M40" s="6">
        <f>IFERROR(LOOKUP(IF(L40="",H40,L40),{0,1,10,100,1000,2500,5000,10000,25000,50000,125000},{0,0.1,0.011,0.0046,0.00207,0.0018,0.00149,0.00129,0.00113,0.00104,0.00102}),"")</f>
        <v>1.0999999999999999E-2</v>
      </c>
      <c r="N40" s="6">
        <f t="shared" ref="N40:N46" si="6">IFERROR(IF(L40="",H40,L40)*M40,"")</f>
        <v>0.21999999999999997</v>
      </c>
      <c r="O40" t="s">
        <v>289</v>
      </c>
      <c r="P40" s="7" t="s">
        <v>263</v>
      </c>
    </row>
    <row r="41" spans="1:22">
      <c r="A41" t="s">
        <v>141</v>
      </c>
      <c r="B41" t="s">
        <v>143</v>
      </c>
      <c r="D41" t="s">
        <v>112</v>
      </c>
      <c r="E41" t="s">
        <v>43</v>
      </c>
      <c r="F41" t="s">
        <v>42</v>
      </c>
      <c r="G41" t="s">
        <v>142</v>
      </c>
      <c r="H41">
        <f>BoardQty*2</f>
        <v>10</v>
      </c>
      <c r="I41" s="6">
        <f t="shared" ca="1" si="4"/>
        <v>5.8000000000000003E-2</v>
      </c>
      <c r="J41" s="6">
        <f t="shared" ca="1" si="5"/>
        <v>0.58000000000000007</v>
      </c>
      <c r="K41">
        <v>2731033</v>
      </c>
      <c r="M41" s="6">
        <f>IFERROR(LOOKUP(IF(L41="",H41,L41),{0,1,10,100,500,1000,4000,8000,12000},{0,0.15,0.105,0.0495,0.03472,0.02875,0.02129,0.0198,0.01881}),"")</f>
        <v>0.105</v>
      </c>
      <c r="N41" s="6">
        <f t="shared" si="6"/>
        <v>1.05</v>
      </c>
      <c r="O41" t="s">
        <v>290</v>
      </c>
      <c r="P41" s="7" t="s">
        <v>263</v>
      </c>
      <c r="Q41">
        <v>327975</v>
      </c>
      <c r="S41" s="6">
        <f>IFERROR(LOOKUP(IF(R41="",H41,R41),{0,1,10,100,500,1000,4000,8000,24000},{0,0.151,0.058,0.04,0.033,0.028,0.021,0.02,0.019}),"")</f>
        <v>5.8000000000000003E-2</v>
      </c>
      <c r="T41" s="6">
        <f>IFERROR(IF(R41="",H41,R41)*S41,"")</f>
        <v>0.58000000000000007</v>
      </c>
      <c r="U41" t="s">
        <v>327</v>
      </c>
      <c r="V41" s="7" t="s">
        <v>263</v>
      </c>
    </row>
    <row r="42" spans="1:22">
      <c r="A42" t="s">
        <v>144</v>
      </c>
      <c r="B42" t="s">
        <v>149</v>
      </c>
      <c r="D42" t="s">
        <v>146</v>
      </c>
      <c r="E42" t="s">
        <v>148</v>
      </c>
      <c r="F42" t="s">
        <v>147</v>
      </c>
      <c r="G42" t="s">
        <v>145</v>
      </c>
      <c r="H42">
        <f>BoardQty*1</f>
        <v>5</v>
      </c>
      <c r="I42" s="6">
        <f t="shared" ca="1" si="4"/>
        <v>0.35299999999999998</v>
      </c>
      <c r="J42" s="6">
        <f t="shared" ca="1" si="5"/>
        <v>1.7649999999999999</v>
      </c>
      <c r="K42">
        <v>4000</v>
      </c>
      <c r="M42" s="6">
        <f>IFERROR(LOOKUP(IF(L42="",H42,L42),{0,1,5,10,50,100,250,500,1000,4000},{0,0.81,0.784,0.734,0.6072,0.506,0.49336,0.41746,0.36685,0.31625}),"")</f>
        <v>0.78400000000000003</v>
      </c>
      <c r="N42" s="6">
        <f t="shared" si="6"/>
        <v>3.92</v>
      </c>
      <c r="O42" t="s">
        <v>291</v>
      </c>
      <c r="P42" s="7" t="s">
        <v>263</v>
      </c>
      <c r="S42" s="6">
        <f>IFERROR(LOOKUP(IF(R42="",H42,R42),{0,1,8000,24000},{0,0.353,0.353,0.343}),"")</f>
        <v>0.35299999999999998</v>
      </c>
      <c r="T42" s="6">
        <f>IFERROR(IF(R42="",H42,R42)*S42,"")</f>
        <v>1.7649999999999999</v>
      </c>
      <c r="U42" t="s">
        <v>328</v>
      </c>
      <c r="V42" s="7" t="s">
        <v>263</v>
      </c>
    </row>
    <row r="43" spans="1:22">
      <c r="A43" t="s">
        <v>150</v>
      </c>
      <c r="B43" t="s">
        <v>153</v>
      </c>
      <c r="E43" t="s">
        <v>152</v>
      </c>
      <c r="F43" t="s">
        <v>24</v>
      </c>
      <c r="G43" t="s">
        <v>151</v>
      </c>
      <c r="H43">
        <f>BoardQty*1</f>
        <v>5</v>
      </c>
      <c r="I43" s="6">
        <f t="shared" ca="1" si="4"/>
        <v>22.571999999999999</v>
      </c>
      <c r="J43" s="6">
        <f t="shared" ca="1" si="5"/>
        <v>112.86</v>
      </c>
      <c r="K43">
        <v>945</v>
      </c>
      <c r="M43" s="6">
        <f>IFERROR(LOOKUP(IF(L43="",H43,L43),{0,1,5,10,25,50,100,250},{0,22.75,22.572,22.396,22.0464,20.9966,19.2468,18.68624}),"")</f>
        <v>22.571999999999999</v>
      </c>
      <c r="N43" s="6">
        <f t="shared" si="6"/>
        <v>112.86</v>
      </c>
      <c r="O43" t="s">
        <v>292</v>
      </c>
      <c r="P43" s="7" t="s">
        <v>263</v>
      </c>
      <c r="S43" s="6">
        <f>IFERROR(LOOKUP(IF(R43="",H43,R43),{0,1,10,25,50,100,250,500},{0,22.64,22.47,22.11,21.06,19.3,18.75,18.53}),"")</f>
        <v>22.64</v>
      </c>
      <c r="T43" s="6">
        <f>IFERROR(IF(R43="",H43,R43)*S43,"")</f>
        <v>113.2</v>
      </c>
      <c r="U43" t="s">
        <v>329</v>
      </c>
      <c r="V43" s="7" t="s">
        <v>263</v>
      </c>
    </row>
    <row r="44" spans="1:22">
      <c r="A44" t="s">
        <v>154</v>
      </c>
      <c r="B44" t="s">
        <v>103</v>
      </c>
      <c r="E44" t="s">
        <v>102</v>
      </c>
      <c r="F44" t="s">
        <v>101</v>
      </c>
      <c r="G44" t="s">
        <v>100</v>
      </c>
      <c r="H44">
        <f>BoardQty*2</f>
        <v>10</v>
      </c>
      <c r="I44" s="6">
        <f t="shared" ca="1" si="4"/>
        <v>0.13600000000000001</v>
      </c>
      <c r="J44" s="6">
        <f t="shared" ca="1" si="5"/>
        <v>1.36</v>
      </c>
      <c r="K44">
        <v>270027</v>
      </c>
      <c r="M44" s="6">
        <f>IFERROR(LOOKUP(IF(L44="",H44,L44),{0,1,10,100,500,1000,2000,3000,4000,6000,9000,10000},{0,0.2,0.136,0.069,0.0472,0.04175,0.03993,0.02396,0.0363,0.02192,0.02039,0.02039}),"")</f>
        <v>0.13600000000000001</v>
      </c>
      <c r="N44" s="6">
        <f t="shared" si="6"/>
        <v>1.36</v>
      </c>
      <c r="O44" t="s">
        <v>281</v>
      </c>
      <c r="P44" s="7" t="s">
        <v>263</v>
      </c>
    </row>
    <row r="45" spans="1:22">
      <c r="A45" t="s">
        <v>155</v>
      </c>
      <c r="B45" t="s">
        <v>159</v>
      </c>
      <c r="D45" t="s">
        <v>41</v>
      </c>
      <c r="E45" t="s">
        <v>158</v>
      </c>
      <c r="F45" t="s">
        <v>157</v>
      </c>
      <c r="G45" t="s">
        <v>156</v>
      </c>
      <c r="H45">
        <f>BoardQty*1</f>
        <v>5</v>
      </c>
      <c r="I45" s="6">
        <f t="shared" ca="1" si="4"/>
        <v>0.69</v>
      </c>
      <c r="J45" s="6">
        <f t="shared" ca="1" si="5"/>
        <v>3.4499999999999997</v>
      </c>
      <c r="K45">
        <v>5261</v>
      </c>
      <c r="M45" s="6">
        <f>IFERROR(LOOKUP(IF(L45="",H45,L45),{0,1,10,50,100,500,1000,3000,5000,10000},{0,0.69,0.578,0.5198,0.462,0.4389,0.336,0.315,0.3045,0.294}),"")</f>
        <v>0.69</v>
      </c>
      <c r="N45" s="6">
        <f t="shared" si="6"/>
        <v>3.4499999999999997</v>
      </c>
      <c r="O45" t="s">
        <v>293</v>
      </c>
      <c r="P45" s="7" t="s">
        <v>263</v>
      </c>
    </row>
    <row r="46" spans="1:22">
      <c r="A46" t="s">
        <v>160</v>
      </c>
      <c r="B46" t="s">
        <v>103</v>
      </c>
      <c r="E46" t="s">
        <v>102</v>
      </c>
      <c r="F46" t="s">
        <v>101</v>
      </c>
      <c r="G46" t="s">
        <v>100</v>
      </c>
      <c r="H46">
        <f>BoardQty*5</f>
        <v>25</v>
      </c>
      <c r="I46" s="6">
        <f t="shared" ca="1" si="4"/>
        <v>0.13600000000000001</v>
      </c>
      <c r="J46" s="6">
        <f t="shared" ca="1" si="5"/>
        <v>3.4000000000000004</v>
      </c>
      <c r="K46">
        <v>270027</v>
      </c>
      <c r="M46" s="6">
        <f>IFERROR(LOOKUP(IF(L46="",H46,L46),{0,1,10,100,500,1000,2000,3000,4000,6000,9000,10000},{0,0.2,0.136,0.069,0.0472,0.04175,0.03993,0.02396,0.0363,0.02192,0.02039,0.02039}),"")</f>
        <v>0.13600000000000001</v>
      </c>
      <c r="N46" s="6">
        <f t="shared" si="6"/>
        <v>3.4000000000000004</v>
      </c>
      <c r="O46" t="s">
        <v>281</v>
      </c>
      <c r="P46" s="7" t="s">
        <v>263</v>
      </c>
    </row>
    <row r="47" spans="1:22">
      <c r="A47" t="s">
        <v>161</v>
      </c>
      <c r="B47" t="s">
        <v>124</v>
      </c>
      <c r="D47" t="s">
        <v>41</v>
      </c>
      <c r="E47" t="s">
        <v>102</v>
      </c>
      <c r="H47">
        <f>BoardQty*1</f>
        <v>5</v>
      </c>
      <c r="I47" s="6">
        <f t="shared" ca="1" si="4"/>
        <v>0</v>
      </c>
      <c r="J47" s="6">
        <f t="shared" ca="1" si="5"/>
        <v>0</v>
      </c>
    </row>
    <row r="48" spans="1:22">
      <c r="A48" t="s">
        <v>162</v>
      </c>
      <c r="B48" t="s">
        <v>164</v>
      </c>
      <c r="E48" t="s">
        <v>163</v>
      </c>
      <c r="H48">
        <f>BoardQty*1</f>
        <v>5</v>
      </c>
      <c r="I48" s="6">
        <f t="shared" ca="1" si="4"/>
        <v>0</v>
      </c>
      <c r="J48" s="6">
        <f t="shared" ca="1" si="5"/>
        <v>0</v>
      </c>
    </row>
    <row r="49" spans="1:16">
      <c r="A49" t="s">
        <v>165</v>
      </c>
      <c r="B49" t="s">
        <v>167</v>
      </c>
      <c r="E49" t="s">
        <v>166</v>
      </c>
      <c r="H49">
        <f>BoardQty*1</f>
        <v>5</v>
      </c>
      <c r="I49" s="6">
        <f t="shared" ca="1" si="4"/>
        <v>0</v>
      </c>
      <c r="J49" s="6">
        <f t="shared" ca="1" si="5"/>
        <v>0</v>
      </c>
    </row>
    <row r="50" spans="1:16">
      <c r="A50" t="s">
        <v>168</v>
      </c>
      <c r="B50" t="s">
        <v>170</v>
      </c>
      <c r="E50" t="s">
        <v>76</v>
      </c>
      <c r="F50" t="s">
        <v>16</v>
      </c>
      <c r="G50" t="s">
        <v>169</v>
      </c>
      <c r="H50">
        <f>BoardQty*2</f>
        <v>10</v>
      </c>
      <c r="I50" s="6">
        <f t="shared" ca="1" si="4"/>
        <v>1.0999999999999999E-2</v>
      </c>
      <c r="J50" s="6">
        <f t="shared" ca="1" si="5"/>
        <v>0.10999999999999999</v>
      </c>
      <c r="K50">
        <v>980562</v>
      </c>
      <c r="M50" s="6">
        <f>IFERROR(LOOKUP(IF(L50="",H50,L50),{0,1,10,100,1000,2500,5000,10000,25000,50000,125000},{0,0.1,0.011,0.0046,0.00207,0.0018,0.00149,0.00129,0.00113,0.00104,0.00102}),"")</f>
        <v>1.0999999999999999E-2</v>
      </c>
      <c r="N50" s="6">
        <f t="shared" ref="N50:N56" si="7">IFERROR(IF(L50="",H50,L50)*M50,"")</f>
        <v>0.10999999999999999</v>
      </c>
      <c r="O50" t="s">
        <v>294</v>
      </c>
      <c r="P50" s="7" t="s">
        <v>263</v>
      </c>
    </row>
    <row r="51" spans="1:16">
      <c r="A51" t="s">
        <v>171</v>
      </c>
      <c r="B51" t="s">
        <v>173</v>
      </c>
      <c r="E51" t="s">
        <v>43</v>
      </c>
      <c r="F51" t="s">
        <v>101</v>
      </c>
      <c r="G51" t="s">
        <v>172</v>
      </c>
      <c r="H51">
        <f>BoardQty*2</f>
        <v>10</v>
      </c>
      <c r="I51" s="6">
        <f t="shared" ca="1" si="4"/>
        <v>1.0999999999999999E-2</v>
      </c>
      <c r="J51" s="6">
        <f t="shared" ca="1" si="5"/>
        <v>0.10999999999999999</v>
      </c>
      <c r="K51">
        <v>692434</v>
      </c>
      <c r="M51" s="6">
        <f>IFERROR(LOOKUP(IF(L51="",H51,L51),{0,1,10,100,500,1000,4000,8000,12000},{0,0.1,0.011,0.005,0.00358,0.00281,0.00235,0.00215,0.00205}),"")</f>
        <v>1.0999999999999999E-2</v>
      </c>
      <c r="N51" s="6">
        <f t="shared" si="7"/>
        <v>0.10999999999999999</v>
      </c>
      <c r="O51" t="s">
        <v>295</v>
      </c>
      <c r="P51" s="7" t="s">
        <v>263</v>
      </c>
    </row>
    <row r="52" spans="1:16">
      <c r="A52" t="s">
        <v>174</v>
      </c>
      <c r="B52" t="s">
        <v>178</v>
      </c>
      <c r="E52" t="s">
        <v>177</v>
      </c>
      <c r="F52" t="s">
        <v>176</v>
      </c>
      <c r="G52" t="s">
        <v>175</v>
      </c>
      <c r="H52">
        <f>BoardQty*1</f>
        <v>5</v>
      </c>
      <c r="I52" s="6">
        <f t="shared" ca="1" si="4"/>
        <v>0.96</v>
      </c>
      <c r="J52" s="6">
        <f t="shared" ca="1" si="5"/>
        <v>4.8</v>
      </c>
      <c r="K52">
        <v>1663</v>
      </c>
      <c r="M52" s="6">
        <f>IFERROR(LOOKUP(IF(L52="",H52,L52),{0,1,10,100,500,1500},{0,0.96,0.842,0.6455,0.51032,0.39635}),"")</f>
        <v>0.96</v>
      </c>
      <c r="N52" s="6">
        <f t="shared" si="7"/>
        <v>4.8</v>
      </c>
      <c r="O52" t="s">
        <v>296</v>
      </c>
      <c r="P52" s="7" t="s">
        <v>263</v>
      </c>
    </row>
    <row r="53" spans="1:16">
      <c r="A53" t="s">
        <v>179</v>
      </c>
      <c r="B53" t="s">
        <v>181</v>
      </c>
      <c r="E53" t="s">
        <v>76</v>
      </c>
      <c r="F53" t="s">
        <v>16</v>
      </c>
      <c r="G53" t="s">
        <v>180</v>
      </c>
      <c r="H53">
        <f>BoardQty*1</f>
        <v>5</v>
      </c>
      <c r="I53" s="6">
        <f t="shared" ca="1" si="4"/>
        <v>0.1</v>
      </c>
      <c r="J53" s="6">
        <f t="shared" ca="1" si="5"/>
        <v>0.5</v>
      </c>
      <c r="K53">
        <v>1590654</v>
      </c>
      <c r="M53" s="6">
        <f>IFERROR(LOOKUP(IF(L53="",H53,L53),{0,1,10,100,1000,2500,5000,10000,25000,50000,125000},{0,0.1,0.011,0.0046,0.00207,0.0018,0.00149,0.00129,0.00113,0.00104,0.00102}),"")</f>
        <v>0.1</v>
      </c>
      <c r="N53" s="6">
        <f t="shared" si="7"/>
        <v>0.5</v>
      </c>
      <c r="O53" t="s">
        <v>297</v>
      </c>
      <c r="P53" s="7" t="s">
        <v>263</v>
      </c>
    </row>
    <row r="54" spans="1:16">
      <c r="A54" t="s">
        <v>182</v>
      </c>
      <c r="B54" t="s">
        <v>187</v>
      </c>
      <c r="D54" t="s">
        <v>184</v>
      </c>
      <c r="E54" t="s">
        <v>186</v>
      </c>
      <c r="F54" t="s">
        <v>185</v>
      </c>
      <c r="G54" t="s">
        <v>183</v>
      </c>
      <c r="H54">
        <f>BoardQty*3</f>
        <v>15</v>
      </c>
      <c r="I54" s="6">
        <f t="shared" ca="1" si="4"/>
        <v>0.57199999999999995</v>
      </c>
      <c r="J54" s="6">
        <f t="shared" ca="1" si="5"/>
        <v>8.58</v>
      </c>
      <c r="K54">
        <v>209847</v>
      </c>
      <c r="M54" s="6">
        <f>IFERROR(LOOKUP(IF(L54="",H54,L54),{0,1,10,100,500,1000,2000},{0,0.78,0.572,0.3924,0.31066,0.26161,0.24526}),"")</f>
        <v>0.57199999999999995</v>
      </c>
      <c r="N54" s="6">
        <f t="shared" si="7"/>
        <v>8.58</v>
      </c>
      <c r="O54" t="s">
        <v>298</v>
      </c>
      <c r="P54" s="7" t="s">
        <v>263</v>
      </c>
    </row>
    <row r="55" spans="1:16">
      <c r="A55" t="s">
        <v>188</v>
      </c>
      <c r="B55" t="s">
        <v>77</v>
      </c>
      <c r="E55" t="s">
        <v>17</v>
      </c>
      <c r="F55" t="s">
        <v>16</v>
      </c>
      <c r="G55" t="s">
        <v>189</v>
      </c>
      <c r="H55">
        <f>BoardQty*1</f>
        <v>5</v>
      </c>
      <c r="I55" s="6">
        <f t="shared" ca="1" si="4"/>
        <v>0.1</v>
      </c>
      <c r="J55" s="6">
        <f t="shared" ca="1" si="5"/>
        <v>0.5</v>
      </c>
      <c r="K55">
        <v>7370644</v>
      </c>
      <c r="M55" s="6">
        <f>IFERROR(LOOKUP(IF(L55="",H55,L55),{0,1,10,25,50,100,250,500,1000,5000,10000,25000,50000,125000},{0,0.1,0.018,0.0128,0.0096,0.0071,0.00544,0.00436,0.00321,0.00209,0.00182,0.0016,0.00146,0.00143}),"")</f>
        <v>0.1</v>
      </c>
      <c r="N55" s="6">
        <f t="shared" si="7"/>
        <v>0.5</v>
      </c>
      <c r="O55" t="s">
        <v>299</v>
      </c>
      <c r="P55" s="7" t="s">
        <v>263</v>
      </c>
    </row>
    <row r="56" spans="1:16">
      <c r="A56" t="s">
        <v>190</v>
      </c>
      <c r="B56" t="s">
        <v>194</v>
      </c>
      <c r="E56" t="s">
        <v>193</v>
      </c>
      <c r="F56" t="s">
        <v>192</v>
      </c>
      <c r="G56" t="s">
        <v>191</v>
      </c>
      <c r="H56">
        <f>BoardQty*1</f>
        <v>5</v>
      </c>
      <c r="I56" s="6">
        <f t="shared" ca="1" si="4"/>
        <v>0.45</v>
      </c>
      <c r="J56" s="6">
        <f t="shared" ca="1" si="5"/>
        <v>2.25</v>
      </c>
      <c r="K56">
        <v>47049</v>
      </c>
      <c r="M56" s="6">
        <f>IFERROR(LOOKUP(IF(L56="",H56,L56),{0,1,10,100,500,1000,2500,5000},{0,0.45,0.318,0.2092,0.15498,0.13173,0.12398,0.11624}),"")</f>
        <v>0.45</v>
      </c>
      <c r="N56" s="6">
        <f t="shared" si="7"/>
        <v>2.25</v>
      </c>
      <c r="O56" t="s">
        <v>300</v>
      </c>
      <c r="P56" s="7" t="s">
        <v>263</v>
      </c>
    </row>
    <row r="57" spans="1:16">
      <c r="A57" t="s">
        <v>195</v>
      </c>
      <c r="B57" t="s">
        <v>197</v>
      </c>
      <c r="E57" t="s">
        <v>196</v>
      </c>
      <c r="H57">
        <f>BoardQty*4</f>
        <v>20</v>
      </c>
      <c r="I57" s="6">
        <f t="shared" ca="1" si="4"/>
        <v>0</v>
      </c>
      <c r="J57" s="6">
        <f t="shared" ca="1" si="5"/>
        <v>0</v>
      </c>
    </row>
    <row r="58" spans="1:16">
      <c r="A58" t="s">
        <v>198</v>
      </c>
      <c r="B58" t="s">
        <v>200</v>
      </c>
      <c r="E58" t="s">
        <v>43</v>
      </c>
      <c r="F58" t="s">
        <v>42</v>
      </c>
      <c r="G58" t="s">
        <v>199</v>
      </c>
      <c r="H58">
        <f>BoardQty*10</f>
        <v>50</v>
      </c>
      <c r="I58" s="6">
        <f t="shared" ca="1" si="4"/>
        <v>8.4000000000000005E-2</v>
      </c>
      <c r="J58" s="6">
        <f t="shared" ca="1" si="5"/>
        <v>4.2</v>
      </c>
      <c r="K58">
        <v>21159330</v>
      </c>
      <c r="M58" s="6">
        <f>IFERROR(LOOKUP(IF(L58="",H58,L58),{0,1,10,100,500,1000,4000,8000,12000},{0,0.12,0.084,0.0396,0.02778,0.023,0.01822,0.01663,0.01584}),"")</f>
        <v>8.4000000000000005E-2</v>
      </c>
      <c r="N58" s="6">
        <f t="shared" ref="N58:N68" si="8">IFERROR(IF(L58="",H58,L58)*M58,"")</f>
        <v>4.2</v>
      </c>
      <c r="O58" t="s">
        <v>301</v>
      </c>
      <c r="P58" s="7" t="s">
        <v>263</v>
      </c>
    </row>
    <row r="59" spans="1:16">
      <c r="A59" t="s">
        <v>201</v>
      </c>
      <c r="B59" t="s">
        <v>77</v>
      </c>
      <c r="E59" t="s">
        <v>76</v>
      </c>
      <c r="F59" t="s">
        <v>16</v>
      </c>
      <c r="G59" t="s">
        <v>75</v>
      </c>
      <c r="H59">
        <f>BoardQty*5</f>
        <v>25</v>
      </c>
      <c r="I59" s="6">
        <f t="shared" ca="1" si="4"/>
        <v>7.1999999999999998E-3</v>
      </c>
      <c r="J59" s="6">
        <f t="shared" ca="1" si="5"/>
        <v>0.18</v>
      </c>
      <c r="K59">
        <v>11252691</v>
      </c>
      <c r="M59" s="6">
        <f>IFERROR(LOOKUP(IF(L59="",H59,L59),{0,1,10,25,50,100,250,500,1000,5000,10000,25000,50000,125000},{0,0.1,0.01,0.0072,0.0056,0.0041,0.00316,0.00252,0.00186,0.00122,0.00106,0.00093,0.00085,0.00083}),"")</f>
        <v>7.1999999999999998E-3</v>
      </c>
      <c r="N59" s="6">
        <f t="shared" si="8"/>
        <v>0.18</v>
      </c>
      <c r="O59" t="s">
        <v>276</v>
      </c>
      <c r="P59" s="7" t="s">
        <v>263</v>
      </c>
    </row>
    <row r="60" spans="1:16">
      <c r="A60" t="s">
        <v>202</v>
      </c>
      <c r="B60" t="s">
        <v>205</v>
      </c>
      <c r="E60" t="s">
        <v>76</v>
      </c>
      <c r="F60" t="s">
        <v>204</v>
      </c>
      <c r="G60" t="s">
        <v>203</v>
      </c>
      <c r="H60">
        <f>BoardQty*1</f>
        <v>5</v>
      </c>
      <c r="I60" s="6">
        <f t="shared" ca="1" si="4"/>
        <v>0.1</v>
      </c>
      <c r="J60" s="6">
        <f t="shared" ca="1" si="5"/>
        <v>0.5</v>
      </c>
      <c r="M60" s="6">
        <f>IFERROR(LOOKUP(IF(L60="",H60,L60),{0,1,10,100,1000,2500,5000,10000,20000,25000,30000,40000,50000,60000,100000,125000},{0,0.1,0.035,0.0142,0.00637,0.00553,0.00457,0.00361,0.00361,0.00317,0.00317,0.00317,0.00291,0.00291,0.00285,0.00285}),"")</f>
        <v>0.1</v>
      </c>
      <c r="N60" s="6">
        <f t="shared" si="8"/>
        <v>0.5</v>
      </c>
      <c r="O60" t="s">
        <v>302</v>
      </c>
      <c r="P60" s="7" t="s">
        <v>263</v>
      </c>
    </row>
    <row r="61" spans="1:16">
      <c r="A61" t="s">
        <v>206</v>
      </c>
      <c r="B61" t="s">
        <v>209</v>
      </c>
      <c r="E61" t="s">
        <v>208</v>
      </c>
      <c r="F61" t="s">
        <v>24</v>
      </c>
      <c r="G61" t="s">
        <v>207</v>
      </c>
      <c r="H61">
        <f>BoardQty*1</f>
        <v>5</v>
      </c>
      <c r="I61" s="6">
        <f t="shared" ca="1" si="4"/>
        <v>1.77</v>
      </c>
      <c r="J61" s="6">
        <f t="shared" ca="1" si="5"/>
        <v>8.85</v>
      </c>
      <c r="M61" s="6">
        <f>IFERROR(LOOKUP(IF(L61="",H61,L61),{0,1,10,100,500,1000,2500},{0,1.77,1.594,1.2812,1.05266,0.8722,0.73}),"")</f>
        <v>1.77</v>
      </c>
      <c r="N61" s="6">
        <f t="shared" si="8"/>
        <v>8.85</v>
      </c>
      <c r="O61" t="s">
        <v>303</v>
      </c>
      <c r="P61" s="7" t="s">
        <v>263</v>
      </c>
    </row>
    <row r="62" spans="1:16">
      <c r="A62" t="s">
        <v>210</v>
      </c>
      <c r="B62" t="s">
        <v>77</v>
      </c>
      <c r="D62" t="s">
        <v>41</v>
      </c>
      <c r="E62" t="s">
        <v>17</v>
      </c>
      <c r="F62" t="s">
        <v>16</v>
      </c>
      <c r="G62" t="s">
        <v>189</v>
      </c>
      <c r="H62">
        <f>BoardQty*1</f>
        <v>5</v>
      </c>
      <c r="I62" s="6">
        <f t="shared" ca="1" si="4"/>
        <v>0.1</v>
      </c>
      <c r="J62" s="6">
        <f t="shared" ca="1" si="5"/>
        <v>0.5</v>
      </c>
      <c r="K62">
        <v>7370644</v>
      </c>
      <c r="M62" s="6">
        <f>IFERROR(LOOKUP(IF(L62="",H62,L62),{0,1,10,25,50,100,250,500,1000,5000,10000,25000,50000,125000},{0,0.1,0.018,0.0128,0.0096,0.0071,0.00544,0.00436,0.00321,0.00209,0.00182,0.0016,0.00146,0.00143}),"")</f>
        <v>0.1</v>
      </c>
      <c r="N62" s="6">
        <f t="shared" si="8"/>
        <v>0.5</v>
      </c>
      <c r="O62" t="s">
        <v>299</v>
      </c>
      <c r="P62" s="7" t="s">
        <v>263</v>
      </c>
    </row>
    <row r="63" spans="1:16">
      <c r="A63" t="s">
        <v>211</v>
      </c>
      <c r="B63" t="s">
        <v>213</v>
      </c>
      <c r="D63" t="s">
        <v>37</v>
      </c>
      <c r="E63" t="s">
        <v>17</v>
      </c>
      <c r="F63" t="s">
        <v>16</v>
      </c>
      <c r="G63" t="s">
        <v>212</v>
      </c>
      <c r="H63">
        <f>BoardQty*1</f>
        <v>5</v>
      </c>
      <c r="I63" s="6">
        <f t="shared" ca="1" si="4"/>
        <v>0.1</v>
      </c>
      <c r="J63" s="6">
        <f t="shared" ca="1" si="5"/>
        <v>0.5</v>
      </c>
      <c r="K63">
        <v>38221</v>
      </c>
      <c r="M63" s="6">
        <f>IFERROR(LOOKUP(IF(L63="",H63,L63),{0,1,10,100,1000,2500,5000,10000,25000,50000,125000},{0,0.1,0.022,0.0088,0.00396,0.00344,0.00284,0.00247,0.00217,0.00199,0.00195}),"")</f>
        <v>0.1</v>
      </c>
      <c r="N63" s="6">
        <f t="shared" si="8"/>
        <v>0.5</v>
      </c>
      <c r="O63" t="s">
        <v>304</v>
      </c>
      <c r="P63" s="7" t="s">
        <v>263</v>
      </c>
    </row>
    <row r="64" spans="1:16">
      <c r="A64" t="s">
        <v>214</v>
      </c>
      <c r="B64" t="s">
        <v>217</v>
      </c>
      <c r="E64" t="s">
        <v>102</v>
      </c>
      <c r="F64" t="s">
        <v>216</v>
      </c>
      <c r="G64" t="s">
        <v>215</v>
      </c>
      <c r="H64">
        <f>BoardQty*2</f>
        <v>10</v>
      </c>
      <c r="I64" s="6">
        <f t="shared" ca="1" si="4"/>
        <v>5.2999999999999999E-2</v>
      </c>
      <c r="J64" s="6">
        <f t="shared" ca="1" si="5"/>
        <v>0.53</v>
      </c>
      <c r="K64">
        <v>38486</v>
      </c>
      <c r="M64" s="6">
        <f>IFERROR(LOOKUP(IF(L64="",H64,L64),{0,1,10,100,500,1000,4000,8000,12000},{0,0.1,0.053,0.0236,0.01682,0.01322,0.00962,0.00878,0.00836}),"")</f>
        <v>5.2999999999999999E-2</v>
      </c>
      <c r="N64" s="6">
        <f t="shared" si="8"/>
        <v>0.53</v>
      </c>
      <c r="O64" t="s">
        <v>305</v>
      </c>
      <c r="P64" s="7" t="s">
        <v>263</v>
      </c>
    </row>
    <row r="65" spans="1:20">
      <c r="A65" t="s">
        <v>218</v>
      </c>
      <c r="B65" t="s">
        <v>219</v>
      </c>
      <c r="E65" t="s">
        <v>17</v>
      </c>
      <c r="F65" t="s">
        <v>95</v>
      </c>
      <c r="G65" t="s">
        <v>94</v>
      </c>
      <c r="H65">
        <f>BoardQty*1</f>
        <v>5</v>
      </c>
      <c r="I65" s="6">
        <f t="shared" ca="1" si="4"/>
        <v>0.11</v>
      </c>
      <c r="J65" s="6">
        <f t="shared" ca="1" si="5"/>
        <v>0.55000000000000004</v>
      </c>
      <c r="K65">
        <v>268519</v>
      </c>
      <c r="M65" s="6">
        <f>IFERROR(LOOKUP(IF(L65="",H65,L65),{0,1,10,25,50,100,250,500,1000,4000,8000,12000,28000,100000},{0,0.11,0.091,0.0704,0.0584,0.0503,0.04028,0.03624,0.0302,0.02745,0.02562,0.02379,0.02352,0.02288}),"")</f>
        <v>0.11</v>
      </c>
      <c r="N65" s="6">
        <f t="shared" si="8"/>
        <v>0.55000000000000004</v>
      </c>
      <c r="O65" t="s">
        <v>280</v>
      </c>
      <c r="P65" s="7" t="s">
        <v>263</v>
      </c>
    </row>
    <row r="66" spans="1:20">
      <c r="A66" t="s">
        <v>220</v>
      </c>
      <c r="B66" t="s">
        <v>223</v>
      </c>
      <c r="E66" t="s">
        <v>222</v>
      </c>
      <c r="F66" t="s">
        <v>101</v>
      </c>
      <c r="G66" t="s">
        <v>221</v>
      </c>
      <c r="H66">
        <f>BoardQty*1</f>
        <v>5</v>
      </c>
      <c r="I66" s="6">
        <f t="shared" ca="1" si="4"/>
        <v>0.39</v>
      </c>
      <c r="J66" s="6">
        <f t="shared" ca="1" si="5"/>
        <v>1.9500000000000002</v>
      </c>
      <c r="M66" s="6">
        <f>IFERROR(LOOKUP(IF(L66="",H66,L66),{0,1,10,25,50,100,250,500,1000,5000,10000,25000,50000,125000},{0,0.39,0.297,0.2256,0.1678,0.1247,0.10536,0.0903,0.0688,0.05805,0.05676,0.05483,0.05375,0.05323}),"")</f>
        <v>0.39</v>
      </c>
      <c r="N66" s="6">
        <f t="shared" si="8"/>
        <v>1.9500000000000002</v>
      </c>
      <c r="O66" t="s">
        <v>306</v>
      </c>
      <c r="P66" s="7" t="s">
        <v>263</v>
      </c>
    </row>
    <row r="67" spans="1:20">
      <c r="A67" t="s">
        <v>224</v>
      </c>
      <c r="B67" t="s">
        <v>226</v>
      </c>
      <c r="D67" t="s">
        <v>41</v>
      </c>
      <c r="E67" t="s">
        <v>43</v>
      </c>
      <c r="F67" t="s">
        <v>101</v>
      </c>
      <c r="G67" t="s">
        <v>225</v>
      </c>
      <c r="H67">
        <f>BoardQty*2</f>
        <v>10</v>
      </c>
      <c r="I67" s="6">
        <f t="shared" ca="1" si="4"/>
        <v>4.4999999999999998E-2</v>
      </c>
      <c r="J67" s="6">
        <f t="shared" ca="1" si="5"/>
        <v>0.44999999999999996</v>
      </c>
      <c r="K67">
        <v>1503299</v>
      </c>
      <c r="M67" s="6">
        <f>IFERROR(LOOKUP(IF(L67="",H67,L67),{0,1,10,100,500,1000,4000,8000,12000},{0,0.1,0.045,0.0199,0.01424,0.01119,0.00936,0.00855,0.00814}),"")</f>
        <v>4.4999999999999998E-2</v>
      </c>
      <c r="N67" s="6">
        <f t="shared" si="8"/>
        <v>0.44999999999999996</v>
      </c>
      <c r="O67" t="s">
        <v>307</v>
      </c>
      <c r="P67" s="7" t="s">
        <v>263</v>
      </c>
    </row>
    <row r="68" spans="1:20">
      <c r="A68" t="s">
        <v>227</v>
      </c>
      <c r="B68" t="s">
        <v>116</v>
      </c>
      <c r="E68" t="s">
        <v>229</v>
      </c>
      <c r="F68" t="s">
        <v>192</v>
      </c>
      <c r="G68" t="s">
        <v>228</v>
      </c>
      <c r="H68">
        <f>BoardQty*1</f>
        <v>5</v>
      </c>
      <c r="I68" s="6">
        <f t="shared" ca="1" si="4"/>
        <v>0.3</v>
      </c>
      <c r="J68" s="6">
        <f t="shared" ca="1" si="5"/>
        <v>1.5</v>
      </c>
      <c r="K68">
        <v>5702</v>
      </c>
      <c r="M68" s="6">
        <f>IFERROR(LOOKUP(IF(L68="",H68,L68),{0,1,10,25,50,100,250,500,1000,3000,6000},{0,0.3,0.287,0.2772,0.2674,0.2525,0.2376,0.2277,0.17325,0.1575,0.1305}),"")</f>
        <v>0.3</v>
      </c>
      <c r="N68" s="6">
        <f t="shared" si="8"/>
        <v>1.5</v>
      </c>
      <c r="O68" t="s">
        <v>308</v>
      </c>
      <c r="P68" s="7" t="s">
        <v>263</v>
      </c>
    </row>
    <row r="69" spans="1:20">
      <c r="A69" t="s">
        <v>230</v>
      </c>
      <c r="B69" t="s">
        <v>231</v>
      </c>
      <c r="E69" t="s">
        <v>163</v>
      </c>
      <c r="H69">
        <f>BoardQty*1</f>
        <v>5</v>
      </c>
      <c r="I69" s="6">
        <f t="shared" ca="1" si="4"/>
        <v>0</v>
      </c>
      <c r="J69" s="6">
        <f t="shared" ca="1" si="5"/>
        <v>0</v>
      </c>
    </row>
    <row r="70" spans="1:20">
      <c r="A70" t="s">
        <v>232</v>
      </c>
      <c r="B70" t="s">
        <v>226</v>
      </c>
      <c r="E70" t="s">
        <v>43</v>
      </c>
      <c r="F70" t="s">
        <v>101</v>
      </c>
      <c r="G70" t="s">
        <v>225</v>
      </c>
      <c r="H70">
        <f>BoardQty*1</f>
        <v>5</v>
      </c>
      <c r="I70" s="6">
        <f t="shared" ca="1" si="4"/>
        <v>0.1</v>
      </c>
      <c r="J70" s="6">
        <f t="shared" ca="1" si="5"/>
        <v>0.5</v>
      </c>
      <c r="K70">
        <v>1503299</v>
      </c>
      <c r="M70" s="6">
        <f>IFERROR(LOOKUP(IF(L70="",H70,L70),{0,1,10,100,500,1000,4000,8000,12000},{0,0.1,0.045,0.0199,0.01424,0.01119,0.00936,0.00855,0.00814}),"")</f>
        <v>0.1</v>
      </c>
      <c r="N70" s="6">
        <f t="shared" ref="N70:N78" si="9">IFERROR(IF(L70="",H70,L70)*M70,"")</f>
        <v>0.5</v>
      </c>
      <c r="O70" t="s">
        <v>307</v>
      </c>
      <c r="P70" s="7" t="s">
        <v>263</v>
      </c>
    </row>
    <row r="71" spans="1:20">
      <c r="A71" t="s">
        <v>233</v>
      </c>
      <c r="B71" t="s">
        <v>237</v>
      </c>
      <c r="E71" t="s">
        <v>236</v>
      </c>
      <c r="F71" t="s">
        <v>235</v>
      </c>
      <c r="G71" t="s">
        <v>234</v>
      </c>
      <c r="H71">
        <f>BoardQty*1</f>
        <v>5</v>
      </c>
      <c r="I71" s="6">
        <f t="shared" ref="I71:I78" ca="1" si="10">MINA(INDIRECT(ADDRESS(ROW(),COLUMN(digikey_part_data)+2)),INDIRECT(ADDRESS(ROW(),COLUMN(mouser_part_data)+2)))</f>
        <v>1.74</v>
      </c>
      <c r="J71" s="6">
        <f t="shared" ref="J71:J102" ca="1" si="11">IFERROR(H71*I71,"")</f>
        <v>8.6999999999999993</v>
      </c>
      <c r="M71" s="6">
        <f>IFERROR(LOOKUP(IF(L71="",H71,L71),{0,1,10,25,100,250,500,1000,2500,5000,12500},{0,1.74,1.569,1.4008,1.2607,1.12064,0.98056,0.81246,0.7344,0.7072,0.68}),"")</f>
        <v>1.74</v>
      </c>
      <c r="N71" s="6">
        <f t="shared" si="9"/>
        <v>8.6999999999999993</v>
      </c>
      <c r="O71" t="s">
        <v>309</v>
      </c>
      <c r="P71" s="7" t="s">
        <v>263</v>
      </c>
    </row>
    <row r="72" spans="1:20">
      <c r="A72" t="s">
        <v>238</v>
      </c>
      <c r="B72" t="s">
        <v>239</v>
      </c>
      <c r="E72" t="s">
        <v>241</v>
      </c>
      <c r="F72" t="s">
        <v>240</v>
      </c>
      <c r="G72" t="s">
        <v>239</v>
      </c>
      <c r="H72">
        <f>BoardQty*1</f>
        <v>5</v>
      </c>
      <c r="I72" s="6">
        <f t="shared" ca="1" si="10"/>
        <v>0.28999999999999998</v>
      </c>
      <c r="J72" s="6">
        <f t="shared" ca="1" si="11"/>
        <v>1.45</v>
      </c>
      <c r="K72">
        <v>31098</v>
      </c>
      <c r="M72" s="6">
        <f>IFERROR(LOOKUP(IF(L72="",H72,L72),{0,1,10,100,500,1000,3000,6000,15000,30000,75000,150000},{0,0.29,0.234,0.1239,0.0815,0.05542,0.04854,0.04221,0.03588,0.03377,0.03166,0.02814}),"")</f>
        <v>0.28999999999999998</v>
      </c>
      <c r="N72" s="6">
        <f t="shared" si="9"/>
        <v>1.45</v>
      </c>
      <c r="O72" t="s">
        <v>310</v>
      </c>
      <c r="P72" s="7" t="s">
        <v>263</v>
      </c>
    </row>
    <row r="73" spans="1:20">
      <c r="A73" t="s">
        <v>242</v>
      </c>
      <c r="B73" t="s">
        <v>119</v>
      </c>
      <c r="E73" t="s">
        <v>76</v>
      </c>
      <c r="F73" t="s">
        <v>16</v>
      </c>
      <c r="G73" t="s">
        <v>118</v>
      </c>
      <c r="H73">
        <f>BoardQty*7</f>
        <v>35</v>
      </c>
      <c r="I73" s="6">
        <f t="shared" ca="1" si="10"/>
        <v>1.0999999999999999E-2</v>
      </c>
      <c r="J73" s="6">
        <f t="shared" ca="1" si="11"/>
        <v>0.38499999999999995</v>
      </c>
      <c r="K73">
        <v>775136</v>
      </c>
      <c r="M73" s="6">
        <f>IFERROR(LOOKUP(IF(L73="",H73,L73),{0,1,10,100,1000,2500,5000,10000,25000,50000,125000},{0,0.1,0.011,0.0046,0.00207,0.0018,0.00149,0.00129,0.00113,0.00104,0.00102}),"")</f>
        <v>1.0999999999999999E-2</v>
      </c>
      <c r="N73" s="6">
        <f t="shared" si="9"/>
        <v>0.38499999999999995</v>
      </c>
      <c r="O73" t="s">
        <v>284</v>
      </c>
      <c r="P73" s="7" t="s">
        <v>263</v>
      </c>
    </row>
    <row r="74" spans="1:20">
      <c r="A74" t="s">
        <v>243</v>
      </c>
      <c r="B74" t="s">
        <v>245</v>
      </c>
      <c r="E74" t="s">
        <v>17</v>
      </c>
      <c r="F74" t="s">
        <v>16</v>
      </c>
      <c r="G74" t="s">
        <v>244</v>
      </c>
      <c r="H74">
        <f>BoardQty*1</f>
        <v>5</v>
      </c>
      <c r="I74" s="6">
        <f t="shared" ca="1" si="10"/>
        <v>0.1</v>
      </c>
      <c r="J74" s="6">
        <f t="shared" ca="1" si="11"/>
        <v>0.5</v>
      </c>
      <c r="K74">
        <v>1284</v>
      </c>
      <c r="M74" s="6">
        <f>IFERROR(LOOKUP(IF(L74="",H74,L74),{0,1,10,100,1000,2500,5000,10000,25000,50000,125000},{0,0.1,0.023,0.0095,0.00427,0.0037,0.00277,0.00241,0.00212,0.00194,0.0019}),"")</f>
        <v>0.1</v>
      </c>
      <c r="N74" s="6">
        <f t="shared" si="9"/>
        <v>0.5</v>
      </c>
      <c r="O74" t="s">
        <v>311</v>
      </c>
      <c r="P74" s="7" t="s">
        <v>263</v>
      </c>
    </row>
    <row r="75" spans="1:20">
      <c r="A75" t="s">
        <v>246</v>
      </c>
      <c r="B75" t="s">
        <v>249</v>
      </c>
      <c r="D75" t="s">
        <v>112</v>
      </c>
      <c r="E75" t="s">
        <v>102</v>
      </c>
      <c r="F75" t="s">
        <v>248</v>
      </c>
      <c r="G75" t="s">
        <v>247</v>
      </c>
      <c r="H75">
        <f>BoardQty*1</f>
        <v>5</v>
      </c>
      <c r="I75" s="6">
        <f t="shared" ca="1" si="10"/>
        <v>0.38</v>
      </c>
      <c r="J75" s="6">
        <f t="shared" ca="1" si="11"/>
        <v>1.9</v>
      </c>
      <c r="K75">
        <v>396</v>
      </c>
      <c r="M75" s="6">
        <f>IFERROR(LOOKUP(IF(L75="",H75,L75),{0,1,10,100,500,1000,3000,6000,9000},{0,0.38,0.267,0.1601,0.12012,0.10143,0.08356,0.07891,0.07427}),"")</f>
        <v>0.38</v>
      </c>
      <c r="N75" s="6">
        <f t="shared" si="9"/>
        <v>1.9</v>
      </c>
      <c r="O75" t="s">
        <v>312</v>
      </c>
      <c r="P75" s="7" t="s">
        <v>263</v>
      </c>
    </row>
    <row r="76" spans="1:20">
      <c r="A76" t="s">
        <v>250</v>
      </c>
      <c r="B76" t="s">
        <v>249</v>
      </c>
      <c r="E76" t="s">
        <v>102</v>
      </c>
      <c r="F76" t="s">
        <v>248</v>
      </c>
      <c r="G76" t="s">
        <v>247</v>
      </c>
      <c r="H76">
        <f>BoardQty*1</f>
        <v>5</v>
      </c>
      <c r="I76" s="6">
        <f t="shared" ca="1" si="10"/>
        <v>0.38</v>
      </c>
      <c r="J76" s="6">
        <f t="shared" ca="1" si="11"/>
        <v>1.9</v>
      </c>
      <c r="K76">
        <v>396</v>
      </c>
      <c r="M76" s="6">
        <f>IFERROR(LOOKUP(IF(L76="",H76,L76),{0,1,10,100,500,1000,3000,6000,9000},{0,0.38,0.267,0.1601,0.12012,0.10143,0.08356,0.07891,0.07427}),"")</f>
        <v>0.38</v>
      </c>
      <c r="N76" s="6">
        <f t="shared" si="9"/>
        <v>1.9</v>
      </c>
      <c r="O76" t="s">
        <v>312</v>
      </c>
      <c r="P76" s="7" t="s">
        <v>263</v>
      </c>
    </row>
    <row r="77" spans="1:20">
      <c r="A77" t="s">
        <v>251</v>
      </c>
      <c r="B77" t="s">
        <v>98</v>
      </c>
      <c r="D77" t="s">
        <v>41</v>
      </c>
      <c r="E77" t="s">
        <v>76</v>
      </c>
      <c r="F77" t="s">
        <v>16</v>
      </c>
      <c r="G77" t="s">
        <v>75</v>
      </c>
      <c r="H77">
        <f>BoardQty*5</f>
        <v>25</v>
      </c>
      <c r="I77" s="6">
        <f t="shared" ca="1" si="10"/>
        <v>7.1999999999999998E-3</v>
      </c>
      <c r="J77" s="6">
        <f t="shared" ca="1" si="11"/>
        <v>0.18</v>
      </c>
      <c r="K77">
        <v>11252691</v>
      </c>
      <c r="M77" s="6">
        <f>IFERROR(LOOKUP(IF(L77="",H77,L77),{0,1,10,25,50,100,250,500,1000,5000,10000,25000,50000,125000},{0,0.1,0.01,0.0072,0.0056,0.0041,0.00316,0.00252,0.00186,0.00122,0.00106,0.00093,0.00085,0.00083}),"")</f>
        <v>7.1999999999999998E-3</v>
      </c>
      <c r="N77" s="6">
        <f t="shared" si="9"/>
        <v>0.18</v>
      </c>
      <c r="O77" t="s">
        <v>276</v>
      </c>
      <c r="P77" s="7" t="s">
        <v>263</v>
      </c>
    </row>
    <row r="78" spans="1:20">
      <c r="A78" t="s">
        <v>252</v>
      </c>
      <c r="B78" t="s">
        <v>254</v>
      </c>
      <c r="E78" t="s">
        <v>17</v>
      </c>
      <c r="F78" t="s">
        <v>16</v>
      </c>
      <c r="G78" t="s">
        <v>253</v>
      </c>
      <c r="H78">
        <f>BoardQty*1</f>
        <v>5</v>
      </c>
      <c r="I78" s="6">
        <f t="shared" ca="1" si="10"/>
        <v>0.1</v>
      </c>
      <c r="J78" s="6">
        <f t="shared" ca="1" si="11"/>
        <v>0.5</v>
      </c>
      <c r="K78">
        <v>165446</v>
      </c>
      <c r="M78" s="6">
        <f>IFERROR(LOOKUP(IF(L78="",H78,L78),{0,1,10,100,1000,2500,5000,10000,25000,50000,125000},{0,0.1,0.022,0.0088,0.00396,0.00344,0.00284,0.00247,0.00217,0.00199,0.00195}),"")</f>
        <v>0.1</v>
      </c>
      <c r="N78" s="6">
        <f t="shared" si="9"/>
        <v>0.5</v>
      </c>
      <c r="O78" t="s">
        <v>313</v>
      </c>
      <c r="P78" s="7" t="s">
        <v>263</v>
      </c>
    </row>
    <row r="80" spans="1:20">
      <c r="L80" t="str">
        <f t="array" ref="L80">IFERROR(CONCATENATE(TEXT(INDEX($L$7:$L$78,SMALL(IF($O$7:$O$78&lt;&gt;"",IF($L$7:$L$78&lt;&gt;"",ROW($L$7:$L$78)-MIN(ROW($L$7:$L$78))+1,""),""),ROW()-ROW(A$80)+1)),"##0"),","),"")</f>
        <v/>
      </c>
      <c r="M80" t="str">
        <f t="array" ref="M80">IFERROR(CONCATENATE((INDEX($O$7:$O$78,SMALL(IF($O$7:$O$78&lt;&gt;"",IF($L$7:$L$78&lt;&gt;"",ROW($L$7:$L$78)-MIN(ROW($L$7:$L$78))+1,""),""),ROW()-ROW(A$80)+1))),","),"")</f>
        <v/>
      </c>
      <c r="N80" t="str">
        <f t="array" ref="N80">IFERROR(CONCATENATE((INDEX($A$7:$A$78,SMALL(IF($O$7:$O$78&lt;&gt;"",IF($L$7:$L$78&lt;&gt;"",ROW($L$7:$L$78)-MIN(ROW($L$7:$L$78))+1,""),""),ROW()-ROW(A$80)+1))),),"")</f>
        <v/>
      </c>
      <c r="R80" t="str">
        <f t="array" ref="R80">IFERROR(CONCATENATE((INDEX($U$7:$U$78,SMALL(IF($U$7:$U$78&lt;&gt;"",IF($R$7:$R$78&lt;&gt;"",ROW($R$7:$R$78)-MIN(ROW($R$7:$R$78))+1,""),""),ROW()-ROW(A$80)+1)))," "),"")</f>
        <v/>
      </c>
      <c r="S80" t="str">
        <f t="array" ref="S80">IFERROR(CONCATENATE(TEXT(INDEX($R$7:$R$78,SMALL(IF($U$7:$U$78&lt;&gt;"",IF($R$7:$R$78&lt;&gt;"",ROW($R$7:$R$78)-MIN(ROW($R$7:$R$78))+1,""),""),ROW()-ROW(A$80)+1)),"##0")," "),"")</f>
        <v/>
      </c>
      <c r="T80" t="str">
        <f t="array" ref="T80">IFERROR(CONCATENATE((INDEX($A$7:$A$78,SMALL(IF($U$7:$U$78&lt;&gt;"",IF($R$7:$R$78&lt;&gt;"",ROW($R$7:$R$78)-MIN(ROW($R$7:$R$78))+1,""),""),ROW()-ROW(A$80)+1))),),"")</f>
        <v/>
      </c>
    </row>
    <row r="81" spans="12:20">
      <c r="L81" t="str">
        <f t="array" ref="L81">IFERROR(CONCATENATE(TEXT(INDEX($L$7:$L$78,SMALL(IF($O$7:$O$78&lt;&gt;"",IF($L$7:$L$78&lt;&gt;"",ROW($L$7:$L$78)-MIN(ROW($L$7:$L$78))+1,""),""),ROW()-ROW(A$80)+1)),"##0"),","),"")</f>
        <v/>
      </c>
      <c r="M81" t="str">
        <f t="array" ref="M81">IFERROR(CONCATENATE((INDEX($O$7:$O$78,SMALL(IF($O$7:$O$78&lt;&gt;"",IF($L$7:$L$78&lt;&gt;"",ROW($L$7:$L$78)-MIN(ROW($L$7:$L$78))+1,""),""),ROW()-ROW(A$80)+1))),","),"")</f>
        <v/>
      </c>
      <c r="N81" t="str">
        <f t="array" ref="N81">IFERROR(CONCATENATE((INDEX($A$7:$A$78,SMALL(IF($O$7:$O$78&lt;&gt;"",IF($L$7:$L$78&lt;&gt;"",ROW($L$7:$L$78)-MIN(ROW($L$7:$L$78))+1,""),""),ROW()-ROW(A$80)+1))),),"")</f>
        <v/>
      </c>
      <c r="R81" t="str">
        <f t="array" ref="R81">IFERROR(CONCATENATE((INDEX($U$7:$U$78,SMALL(IF($U$7:$U$78&lt;&gt;"",IF($R$7:$R$78&lt;&gt;"",ROW($R$7:$R$78)-MIN(ROW($R$7:$R$78))+1,""),""),ROW()-ROW(A$80)+1)))," "),"")</f>
        <v/>
      </c>
      <c r="S81" t="str">
        <f t="array" ref="S81">IFERROR(CONCATENATE(TEXT(INDEX($R$7:$R$78,SMALL(IF($U$7:$U$78&lt;&gt;"",IF($R$7:$R$78&lt;&gt;"",ROW($R$7:$R$78)-MIN(ROW($R$7:$R$78))+1,""),""),ROW()-ROW(A$80)+1)),"##0")," "),"")</f>
        <v/>
      </c>
      <c r="T81" t="str">
        <f t="array" ref="T81">IFERROR(CONCATENATE((INDEX($A$7:$A$78,SMALL(IF($U$7:$U$78&lt;&gt;"",IF($R$7:$R$78&lt;&gt;"",ROW($R$7:$R$78)-MIN(ROW($R$7:$R$78))+1,""),""),ROW()-ROW(A$80)+1))),),"")</f>
        <v/>
      </c>
    </row>
    <row r="82" spans="12:20">
      <c r="L82" t="str">
        <f t="array" ref="L82">IFERROR(CONCATENATE(TEXT(INDEX($L$7:$L$78,SMALL(IF($O$7:$O$78&lt;&gt;"",IF($L$7:$L$78&lt;&gt;"",ROW($L$7:$L$78)-MIN(ROW($L$7:$L$78))+1,""),""),ROW()-ROW(A$80)+1)),"##0"),","),"")</f>
        <v/>
      </c>
      <c r="M82" t="str">
        <f t="array" ref="M82">IFERROR(CONCATENATE((INDEX($O$7:$O$78,SMALL(IF($O$7:$O$78&lt;&gt;"",IF($L$7:$L$78&lt;&gt;"",ROW($L$7:$L$78)-MIN(ROW($L$7:$L$78))+1,""),""),ROW()-ROW(A$80)+1))),","),"")</f>
        <v/>
      </c>
      <c r="N82" t="str">
        <f t="array" ref="N82">IFERROR(CONCATENATE((INDEX($A$7:$A$78,SMALL(IF($O$7:$O$78&lt;&gt;"",IF($L$7:$L$78&lt;&gt;"",ROW($L$7:$L$78)-MIN(ROW($L$7:$L$78))+1,""),""),ROW()-ROW(A$80)+1))),),"")</f>
        <v/>
      </c>
      <c r="R82" t="str">
        <f t="array" ref="R82">IFERROR(CONCATENATE((INDEX($U$7:$U$78,SMALL(IF($U$7:$U$78&lt;&gt;"",IF($R$7:$R$78&lt;&gt;"",ROW($R$7:$R$78)-MIN(ROW($R$7:$R$78))+1,""),""),ROW()-ROW(A$80)+1)))," "),"")</f>
        <v/>
      </c>
      <c r="S82" t="str">
        <f t="array" ref="S82">IFERROR(CONCATENATE(TEXT(INDEX($R$7:$R$78,SMALL(IF($U$7:$U$78&lt;&gt;"",IF($R$7:$R$78&lt;&gt;"",ROW($R$7:$R$78)-MIN(ROW($R$7:$R$78))+1,""),""),ROW()-ROW(A$80)+1)),"##0")," "),"")</f>
        <v/>
      </c>
      <c r="T82" t="str">
        <f t="array" ref="T82">IFERROR(CONCATENATE((INDEX($A$7:$A$78,SMALL(IF($U$7:$U$78&lt;&gt;"",IF($R$7:$R$78&lt;&gt;"",ROW($R$7:$R$78)-MIN(ROW($R$7:$R$78))+1,""),""),ROW()-ROW(A$80)+1))),),"")</f>
        <v/>
      </c>
    </row>
    <row r="83" spans="12:20">
      <c r="L83" t="str">
        <f t="array" ref="L83">IFERROR(CONCATENATE(TEXT(INDEX($L$7:$L$78,SMALL(IF($O$7:$O$78&lt;&gt;"",IF($L$7:$L$78&lt;&gt;"",ROW($L$7:$L$78)-MIN(ROW($L$7:$L$78))+1,""),""),ROW()-ROW(A$80)+1)),"##0"),","),"")</f>
        <v/>
      </c>
      <c r="M83" t="str">
        <f t="array" ref="M83">IFERROR(CONCATENATE((INDEX($O$7:$O$78,SMALL(IF($O$7:$O$78&lt;&gt;"",IF($L$7:$L$78&lt;&gt;"",ROW($L$7:$L$78)-MIN(ROW($L$7:$L$78))+1,""),""),ROW()-ROW(A$80)+1))),","),"")</f>
        <v/>
      </c>
      <c r="N83" t="str">
        <f t="array" ref="N83">IFERROR(CONCATENATE((INDEX($A$7:$A$78,SMALL(IF($O$7:$O$78&lt;&gt;"",IF($L$7:$L$78&lt;&gt;"",ROW($L$7:$L$78)-MIN(ROW($L$7:$L$78))+1,""),""),ROW()-ROW(A$80)+1))),),"")</f>
        <v/>
      </c>
      <c r="R83" t="str">
        <f t="array" ref="R83">IFERROR(CONCATENATE((INDEX($U$7:$U$78,SMALL(IF($U$7:$U$78&lt;&gt;"",IF($R$7:$R$78&lt;&gt;"",ROW($R$7:$R$78)-MIN(ROW($R$7:$R$78))+1,""),""),ROW()-ROW(A$80)+1)))," "),"")</f>
        <v/>
      </c>
      <c r="S83" t="str">
        <f t="array" ref="S83">IFERROR(CONCATENATE(TEXT(INDEX($R$7:$R$78,SMALL(IF($U$7:$U$78&lt;&gt;"",IF($R$7:$R$78&lt;&gt;"",ROW($R$7:$R$78)-MIN(ROW($R$7:$R$78))+1,""),""),ROW()-ROW(A$80)+1)),"##0")," "),"")</f>
        <v/>
      </c>
      <c r="T83" t="str">
        <f t="array" ref="T83">IFERROR(CONCATENATE((INDEX($A$7:$A$78,SMALL(IF($U$7:$U$78&lt;&gt;"",IF($R$7:$R$78&lt;&gt;"",ROW($R$7:$R$78)-MIN(ROW($R$7:$R$78))+1,""),""),ROW()-ROW(A$80)+1))),),"")</f>
        <v/>
      </c>
    </row>
    <row r="84" spans="12:20">
      <c r="L84" t="str">
        <f t="array" ref="L84">IFERROR(CONCATENATE(TEXT(INDEX($L$7:$L$78,SMALL(IF($O$7:$O$78&lt;&gt;"",IF($L$7:$L$78&lt;&gt;"",ROW($L$7:$L$78)-MIN(ROW($L$7:$L$78))+1,""),""),ROW()-ROW(A$80)+1)),"##0"),","),"")</f>
        <v/>
      </c>
      <c r="M84" t="str">
        <f t="array" ref="M84">IFERROR(CONCATENATE((INDEX($O$7:$O$78,SMALL(IF($O$7:$O$78&lt;&gt;"",IF($L$7:$L$78&lt;&gt;"",ROW($L$7:$L$78)-MIN(ROW($L$7:$L$78))+1,""),""),ROW()-ROW(A$80)+1))),","),"")</f>
        <v/>
      </c>
      <c r="N84" t="str">
        <f t="array" ref="N84">IFERROR(CONCATENATE((INDEX($A$7:$A$78,SMALL(IF($O$7:$O$78&lt;&gt;"",IF($L$7:$L$78&lt;&gt;"",ROW($L$7:$L$78)-MIN(ROW($L$7:$L$78))+1,""),""),ROW()-ROW(A$80)+1))),),"")</f>
        <v/>
      </c>
      <c r="R84" t="str">
        <f t="array" ref="R84">IFERROR(CONCATENATE((INDEX($U$7:$U$78,SMALL(IF($U$7:$U$78&lt;&gt;"",IF($R$7:$R$78&lt;&gt;"",ROW($R$7:$R$78)-MIN(ROW($R$7:$R$78))+1,""),""),ROW()-ROW(A$80)+1)))," "),"")</f>
        <v/>
      </c>
      <c r="S84" t="str">
        <f t="array" ref="S84">IFERROR(CONCATENATE(TEXT(INDEX($R$7:$R$78,SMALL(IF($U$7:$U$78&lt;&gt;"",IF($R$7:$R$78&lt;&gt;"",ROW($R$7:$R$78)-MIN(ROW($R$7:$R$78))+1,""),""),ROW()-ROW(A$80)+1)),"##0")," "),"")</f>
        <v/>
      </c>
      <c r="T84" t="str">
        <f t="array" ref="T84">IFERROR(CONCATENATE((INDEX($A$7:$A$78,SMALL(IF($U$7:$U$78&lt;&gt;"",IF($R$7:$R$78&lt;&gt;"",ROW($R$7:$R$78)-MIN(ROW($R$7:$R$78))+1,""),""),ROW()-ROW(A$80)+1))),),"")</f>
        <v/>
      </c>
    </row>
    <row r="85" spans="12:20">
      <c r="L85" t="str">
        <f t="array" ref="L85">IFERROR(CONCATENATE(TEXT(INDEX($L$7:$L$78,SMALL(IF($O$7:$O$78&lt;&gt;"",IF($L$7:$L$78&lt;&gt;"",ROW($L$7:$L$78)-MIN(ROW($L$7:$L$78))+1,""),""),ROW()-ROW(A$80)+1)),"##0"),","),"")</f>
        <v/>
      </c>
      <c r="M85" t="str">
        <f t="array" ref="M85">IFERROR(CONCATENATE((INDEX($O$7:$O$78,SMALL(IF($O$7:$O$78&lt;&gt;"",IF($L$7:$L$78&lt;&gt;"",ROW($L$7:$L$78)-MIN(ROW($L$7:$L$78))+1,""),""),ROW()-ROW(A$80)+1))),","),"")</f>
        <v/>
      </c>
      <c r="N85" t="str">
        <f t="array" ref="N85">IFERROR(CONCATENATE((INDEX($A$7:$A$78,SMALL(IF($O$7:$O$78&lt;&gt;"",IF($L$7:$L$78&lt;&gt;"",ROW($L$7:$L$78)-MIN(ROW($L$7:$L$78))+1,""),""),ROW()-ROW(A$80)+1))),),"")</f>
        <v/>
      </c>
      <c r="R85" t="str">
        <f t="array" ref="R85">IFERROR(CONCATENATE((INDEX($U$7:$U$78,SMALL(IF($U$7:$U$78&lt;&gt;"",IF($R$7:$R$78&lt;&gt;"",ROW($R$7:$R$78)-MIN(ROW($R$7:$R$78))+1,""),""),ROW()-ROW(A$80)+1)))," "),"")</f>
        <v/>
      </c>
      <c r="S85" t="str">
        <f t="array" ref="S85">IFERROR(CONCATENATE(TEXT(INDEX($R$7:$R$78,SMALL(IF($U$7:$U$78&lt;&gt;"",IF($R$7:$R$78&lt;&gt;"",ROW($R$7:$R$78)-MIN(ROW($R$7:$R$78))+1,""),""),ROW()-ROW(A$80)+1)),"##0")," "),"")</f>
        <v/>
      </c>
      <c r="T85" t="str">
        <f t="array" ref="T85">IFERROR(CONCATENATE((INDEX($A$7:$A$78,SMALL(IF($U$7:$U$78&lt;&gt;"",IF($R$7:$R$78&lt;&gt;"",ROW($R$7:$R$78)-MIN(ROW($R$7:$R$78))+1,""),""),ROW()-ROW(A$80)+1))),),"")</f>
        <v/>
      </c>
    </row>
    <row r="86" spans="12:20">
      <c r="L86" t="str">
        <f t="array" ref="L86">IFERROR(CONCATENATE(TEXT(INDEX($L$7:$L$78,SMALL(IF($O$7:$O$78&lt;&gt;"",IF($L$7:$L$78&lt;&gt;"",ROW($L$7:$L$78)-MIN(ROW($L$7:$L$78))+1,""),""),ROW()-ROW(A$80)+1)),"##0"),","),"")</f>
        <v/>
      </c>
      <c r="M86" t="str">
        <f t="array" ref="M86">IFERROR(CONCATENATE((INDEX($O$7:$O$78,SMALL(IF($O$7:$O$78&lt;&gt;"",IF($L$7:$L$78&lt;&gt;"",ROW($L$7:$L$78)-MIN(ROW($L$7:$L$78))+1,""),""),ROW()-ROW(A$80)+1))),","),"")</f>
        <v/>
      </c>
      <c r="N86" t="str">
        <f t="array" ref="N86">IFERROR(CONCATENATE((INDEX($A$7:$A$78,SMALL(IF($O$7:$O$78&lt;&gt;"",IF($L$7:$L$78&lt;&gt;"",ROW($L$7:$L$78)-MIN(ROW($L$7:$L$78))+1,""),""),ROW()-ROW(A$80)+1))),),"")</f>
        <v/>
      </c>
      <c r="R86" t="str">
        <f t="array" ref="R86">IFERROR(CONCATENATE((INDEX($U$7:$U$78,SMALL(IF($U$7:$U$78&lt;&gt;"",IF($R$7:$R$78&lt;&gt;"",ROW($R$7:$R$78)-MIN(ROW($R$7:$R$78))+1,""),""),ROW()-ROW(A$80)+1)))," "),"")</f>
        <v/>
      </c>
      <c r="S86" t="str">
        <f t="array" ref="S86">IFERROR(CONCATENATE(TEXT(INDEX($R$7:$R$78,SMALL(IF($U$7:$U$78&lt;&gt;"",IF($R$7:$R$78&lt;&gt;"",ROW($R$7:$R$78)-MIN(ROW($R$7:$R$78))+1,""),""),ROW()-ROW(A$80)+1)),"##0")," "),"")</f>
        <v/>
      </c>
      <c r="T86" t="str">
        <f t="array" ref="T86">IFERROR(CONCATENATE((INDEX($A$7:$A$78,SMALL(IF($U$7:$U$78&lt;&gt;"",IF($R$7:$R$78&lt;&gt;"",ROW($R$7:$R$78)-MIN(ROW($R$7:$R$78))+1,""),""),ROW()-ROW(A$80)+1))),),"")</f>
        <v/>
      </c>
    </row>
    <row r="87" spans="12:20">
      <c r="L87" t="str">
        <f t="array" ref="L87">IFERROR(CONCATENATE(TEXT(INDEX($L$7:$L$78,SMALL(IF($O$7:$O$78&lt;&gt;"",IF($L$7:$L$78&lt;&gt;"",ROW($L$7:$L$78)-MIN(ROW($L$7:$L$78))+1,""),""),ROW()-ROW(A$80)+1)),"##0"),","),"")</f>
        <v/>
      </c>
      <c r="M87" t="str">
        <f t="array" ref="M87">IFERROR(CONCATENATE((INDEX($O$7:$O$78,SMALL(IF($O$7:$O$78&lt;&gt;"",IF($L$7:$L$78&lt;&gt;"",ROW($L$7:$L$78)-MIN(ROW($L$7:$L$78))+1,""),""),ROW()-ROW(A$80)+1))),","),"")</f>
        <v/>
      </c>
      <c r="N87" t="str">
        <f t="array" ref="N87">IFERROR(CONCATENATE((INDEX($A$7:$A$78,SMALL(IF($O$7:$O$78&lt;&gt;"",IF($L$7:$L$78&lt;&gt;"",ROW($L$7:$L$78)-MIN(ROW($L$7:$L$78))+1,""),""),ROW()-ROW(A$80)+1))),),"")</f>
        <v/>
      </c>
      <c r="R87" t="str">
        <f t="array" ref="R87">IFERROR(CONCATENATE((INDEX($U$7:$U$78,SMALL(IF($U$7:$U$78&lt;&gt;"",IF($R$7:$R$78&lt;&gt;"",ROW($R$7:$R$78)-MIN(ROW($R$7:$R$78))+1,""),""),ROW()-ROW(A$80)+1)))," "),"")</f>
        <v/>
      </c>
      <c r="S87" t="str">
        <f t="array" ref="S87">IFERROR(CONCATENATE(TEXT(INDEX($R$7:$R$78,SMALL(IF($U$7:$U$78&lt;&gt;"",IF($R$7:$R$78&lt;&gt;"",ROW($R$7:$R$78)-MIN(ROW($R$7:$R$78))+1,""),""),ROW()-ROW(A$80)+1)),"##0")," "),"")</f>
        <v/>
      </c>
      <c r="T87" t="str">
        <f t="array" ref="T87">IFERROR(CONCATENATE((INDEX($A$7:$A$78,SMALL(IF($U$7:$U$78&lt;&gt;"",IF($R$7:$R$78&lt;&gt;"",ROW($R$7:$R$78)-MIN(ROW($R$7:$R$78))+1,""),""),ROW()-ROW(A$80)+1))),),"")</f>
        <v/>
      </c>
    </row>
    <row r="88" spans="12:20">
      <c r="L88" t="str">
        <f t="array" ref="L88">IFERROR(CONCATENATE(TEXT(INDEX($L$7:$L$78,SMALL(IF($O$7:$O$78&lt;&gt;"",IF($L$7:$L$78&lt;&gt;"",ROW($L$7:$L$78)-MIN(ROW($L$7:$L$78))+1,""),""),ROW()-ROW(A$80)+1)),"##0"),","),"")</f>
        <v/>
      </c>
      <c r="M88" t="str">
        <f t="array" ref="M88">IFERROR(CONCATENATE((INDEX($O$7:$O$78,SMALL(IF($O$7:$O$78&lt;&gt;"",IF($L$7:$L$78&lt;&gt;"",ROW($L$7:$L$78)-MIN(ROW($L$7:$L$78))+1,""),""),ROW()-ROW(A$80)+1))),","),"")</f>
        <v/>
      </c>
      <c r="N88" t="str">
        <f t="array" ref="N88">IFERROR(CONCATENATE((INDEX($A$7:$A$78,SMALL(IF($O$7:$O$78&lt;&gt;"",IF($L$7:$L$78&lt;&gt;"",ROW($L$7:$L$78)-MIN(ROW($L$7:$L$78))+1,""),""),ROW()-ROW(A$80)+1))),),"")</f>
        <v/>
      </c>
      <c r="R88" t="str">
        <f t="array" ref="R88">IFERROR(CONCATENATE((INDEX($U$7:$U$78,SMALL(IF($U$7:$U$78&lt;&gt;"",IF($R$7:$R$78&lt;&gt;"",ROW($R$7:$R$78)-MIN(ROW($R$7:$R$78))+1,""),""),ROW()-ROW(A$80)+1)))," "),"")</f>
        <v/>
      </c>
      <c r="S88" t="str">
        <f t="array" ref="S88">IFERROR(CONCATENATE(TEXT(INDEX($R$7:$R$78,SMALL(IF($U$7:$U$78&lt;&gt;"",IF($R$7:$R$78&lt;&gt;"",ROW($R$7:$R$78)-MIN(ROW($R$7:$R$78))+1,""),""),ROW()-ROW(A$80)+1)),"##0")," "),"")</f>
        <v/>
      </c>
      <c r="T88" t="str">
        <f t="array" ref="T88">IFERROR(CONCATENATE((INDEX($A$7:$A$78,SMALL(IF($U$7:$U$78&lt;&gt;"",IF($R$7:$R$78&lt;&gt;"",ROW($R$7:$R$78)-MIN(ROW($R$7:$R$78))+1,""),""),ROW()-ROW(A$80)+1))),),"")</f>
        <v/>
      </c>
    </row>
    <row r="89" spans="12:20">
      <c r="L89" t="str">
        <f t="array" ref="L89">IFERROR(CONCATENATE(TEXT(INDEX($L$7:$L$78,SMALL(IF($O$7:$O$78&lt;&gt;"",IF($L$7:$L$78&lt;&gt;"",ROW($L$7:$L$78)-MIN(ROW($L$7:$L$78))+1,""),""),ROW()-ROW(A$80)+1)),"##0"),","),"")</f>
        <v/>
      </c>
      <c r="M89" t="str">
        <f t="array" ref="M89">IFERROR(CONCATENATE((INDEX($O$7:$O$78,SMALL(IF($O$7:$O$78&lt;&gt;"",IF($L$7:$L$78&lt;&gt;"",ROW($L$7:$L$78)-MIN(ROW($L$7:$L$78))+1,""),""),ROW()-ROW(A$80)+1))),","),"")</f>
        <v/>
      </c>
      <c r="N89" t="str">
        <f t="array" ref="N89">IFERROR(CONCATENATE((INDEX($A$7:$A$78,SMALL(IF($O$7:$O$78&lt;&gt;"",IF($L$7:$L$78&lt;&gt;"",ROW($L$7:$L$78)-MIN(ROW($L$7:$L$78))+1,""),""),ROW()-ROW(A$80)+1))),),"")</f>
        <v/>
      </c>
      <c r="R89" t="str">
        <f t="array" ref="R89">IFERROR(CONCATENATE((INDEX($U$7:$U$78,SMALL(IF($U$7:$U$78&lt;&gt;"",IF($R$7:$R$78&lt;&gt;"",ROW($R$7:$R$78)-MIN(ROW($R$7:$R$78))+1,""),""),ROW()-ROW(A$80)+1)))," "),"")</f>
        <v/>
      </c>
      <c r="S89" t="str">
        <f t="array" ref="S89">IFERROR(CONCATENATE(TEXT(INDEX($R$7:$R$78,SMALL(IF($U$7:$U$78&lt;&gt;"",IF($R$7:$R$78&lt;&gt;"",ROW($R$7:$R$78)-MIN(ROW($R$7:$R$78))+1,""),""),ROW()-ROW(A$80)+1)),"##0")," "),"")</f>
        <v/>
      </c>
      <c r="T89" t="str">
        <f t="array" ref="T89">IFERROR(CONCATENATE((INDEX($A$7:$A$78,SMALL(IF($U$7:$U$78&lt;&gt;"",IF($R$7:$R$78&lt;&gt;"",ROW($R$7:$R$78)-MIN(ROW($R$7:$R$78))+1,""),""),ROW()-ROW(A$80)+1))),),"")</f>
        <v/>
      </c>
    </row>
    <row r="90" spans="12:20">
      <c r="L90" t="str">
        <f t="array" ref="L90">IFERROR(CONCATENATE(TEXT(INDEX($L$7:$L$78,SMALL(IF($O$7:$O$78&lt;&gt;"",IF($L$7:$L$78&lt;&gt;"",ROW($L$7:$L$78)-MIN(ROW($L$7:$L$78))+1,""),""),ROW()-ROW(A$80)+1)),"##0"),","),"")</f>
        <v/>
      </c>
      <c r="M90" t="str">
        <f t="array" ref="M90">IFERROR(CONCATENATE((INDEX($O$7:$O$78,SMALL(IF($O$7:$O$78&lt;&gt;"",IF($L$7:$L$78&lt;&gt;"",ROW($L$7:$L$78)-MIN(ROW($L$7:$L$78))+1,""),""),ROW()-ROW(A$80)+1))),","),"")</f>
        <v/>
      </c>
      <c r="N90" t="str">
        <f t="array" ref="N90">IFERROR(CONCATENATE((INDEX($A$7:$A$78,SMALL(IF($O$7:$O$78&lt;&gt;"",IF($L$7:$L$78&lt;&gt;"",ROW($L$7:$L$78)-MIN(ROW($L$7:$L$78))+1,""),""),ROW()-ROW(A$80)+1))),),"")</f>
        <v/>
      </c>
      <c r="R90" t="str">
        <f t="array" ref="R90">IFERROR(CONCATENATE((INDEX($U$7:$U$78,SMALL(IF($U$7:$U$78&lt;&gt;"",IF($R$7:$R$78&lt;&gt;"",ROW($R$7:$R$78)-MIN(ROW($R$7:$R$78))+1,""),""),ROW()-ROW(A$80)+1)))," "),"")</f>
        <v/>
      </c>
      <c r="S90" t="str">
        <f t="array" ref="S90">IFERROR(CONCATENATE(TEXT(INDEX($R$7:$R$78,SMALL(IF($U$7:$U$78&lt;&gt;"",IF($R$7:$R$78&lt;&gt;"",ROW($R$7:$R$78)-MIN(ROW($R$7:$R$78))+1,""),""),ROW()-ROW(A$80)+1)),"##0")," "),"")</f>
        <v/>
      </c>
      <c r="T90" t="str">
        <f t="array" ref="T90">IFERROR(CONCATENATE((INDEX($A$7:$A$78,SMALL(IF($U$7:$U$78&lt;&gt;"",IF($R$7:$R$78&lt;&gt;"",ROW($R$7:$R$78)-MIN(ROW($R$7:$R$78))+1,""),""),ROW()-ROW(A$80)+1))),),"")</f>
        <v/>
      </c>
    </row>
    <row r="91" spans="12:20">
      <c r="L91" t="str">
        <f t="array" ref="L91">IFERROR(CONCATENATE(TEXT(INDEX($L$7:$L$78,SMALL(IF($O$7:$O$78&lt;&gt;"",IF($L$7:$L$78&lt;&gt;"",ROW($L$7:$L$78)-MIN(ROW($L$7:$L$78))+1,""),""),ROW()-ROW(A$80)+1)),"##0"),","),"")</f>
        <v/>
      </c>
      <c r="M91" t="str">
        <f t="array" ref="M91">IFERROR(CONCATENATE((INDEX($O$7:$O$78,SMALL(IF($O$7:$O$78&lt;&gt;"",IF($L$7:$L$78&lt;&gt;"",ROW($L$7:$L$78)-MIN(ROW($L$7:$L$78))+1,""),""),ROW()-ROW(A$80)+1))),","),"")</f>
        <v/>
      </c>
      <c r="N91" t="str">
        <f t="array" ref="N91">IFERROR(CONCATENATE((INDEX($A$7:$A$78,SMALL(IF($O$7:$O$78&lt;&gt;"",IF($L$7:$L$78&lt;&gt;"",ROW($L$7:$L$78)-MIN(ROW($L$7:$L$78))+1,""),""),ROW()-ROW(A$80)+1))),),"")</f>
        <v/>
      </c>
      <c r="R91" t="str">
        <f t="array" ref="R91">IFERROR(CONCATENATE((INDEX($U$7:$U$78,SMALL(IF($U$7:$U$78&lt;&gt;"",IF($R$7:$R$78&lt;&gt;"",ROW($R$7:$R$78)-MIN(ROW($R$7:$R$78))+1,""),""),ROW()-ROW(A$80)+1)))," "),"")</f>
        <v/>
      </c>
      <c r="S91" t="str">
        <f t="array" ref="S91">IFERROR(CONCATENATE(TEXT(INDEX($R$7:$R$78,SMALL(IF($U$7:$U$78&lt;&gt;"",IF($R$7:$R$78&lt;&gt;"",ROW($R$7:$R$78)-MIN(ROW($R$7:$R$78))+1,""),""),ROW()-ROW(A$80)+1)),"##0")," "),"")</f>
        <v/>
      </c>
      <c r="T91" t="str">
        <f t="array" ref="T91">IFERROR(CONCATENATE((INDEX($A$7:$A$78,SMALL(IF($U$7:$U$78&lt;&gt;"",IF($R$7:$R$78&lt;&gt;"",ROW($R$7:$R$78)-MIN(ROW($R$7:$R$78))+1,""),""),ROW()-ROW(A$80)+1))),),"")</f>
        <v/>
      </c>
    </row>
    <row r="92" spans="12:20">
      <c r="L92" t="str">
        <f t="array" ref="L92">IFERROR(CONCATENATE(TEXT(INDEX($L$7:$L$78,SMALL(IF($O$7:$O$78&lt;&gt;"",IF($L$7:$L$78&lt;&gt;"",ROW($L$7:$L$78)-MIN(ROW($L$7:$L$78))+1,""),""),ROW()-ROW(A$80)+1)),"##0"),","),"")</f>
        <v/>
      </c>
      <c r="M92" t="str">
        <f t="array" ref="M92">IFERROR(CONCATENATE((INDEX($O$7:$O$78,SMALL(IF($O$7:$O$78&lt;&gt;"",IF($L$7:$L$78&lt;&gt;"",ROW($L$7:$L$78)-MIN(ROW($L$7:$L$78))+1,""),""),ROW()-ROW(A$80)+1))),","),"")</f>
        <v/>
      </c>
      <c r="N92" t="str">
        <f t="array" ref="N92">IFERROR(CONCATENATE((INDEX($A$7:$A$78,SMALL(IF($O$7:$O$78&lt;&gt;"",IF($L$7:$L$78&lt;&gt;"",ROW($L$7:$L$78)-MIN(ROW($L$7:$L$78))+1,""),""),ROW()-ROW(A$80)+1))),),"")</f>
        <v/>
      </c>
      <c r="R92" t="str">
        <f t="array" ref="R92">IFERROR(CONCATENATE((INDEX($U$7:$U$78,SMALL(IF($U$7:$U$78&lt;&gt;"",IF($R$7:$R$78&lt;&gt;"",ROW($R$7:$R$78)-MIN(ROW($R$7:$R$78))+1,""),""),ROW()-ROW(A$80)+1)))," "),"")</f>
        <v/>
      </c>
      <c r="S92" t="str">
        <f t="array" ref="S92">IFERROR(CONCATENATE(TEXT(INDEX($R$7:$R$78,SMALL(IF($U$7:$U$78&lt;&gt;"",IF($R$7:$R$78&lt;&gt;"",ROW($R$7:$R$78)-MIN(ROW($R$7:$R$78))+1,""),""),ROW()-ROW(A$80)+1)),"##0")," "),"")</f>
        <v/>
      </c>
      <c r="T92" t="str">
        <f t="array" ref="T92">IFERROR(CONCATENATE((INDEX($A$7:$A$78,SMALL(IF($U$7:$U$78&lt;&gt;"",IF($R$7:$R$78&lt;&gt;"",ROW($R$7:$R$78)-MIN(ROW($R$7:$R$78))+1,""),""),ROW()-ROW(A$80)+1))),),"")</f>
        <v/>
      </c>
    </row>
    <row r="93" spans="12:20">
      <c r="L93" t="str">
        <f t="array" ref="L93">IFERROR(CONCATENATE(TEXT(INDEX($L$7:$L$78,SMALL(IF($O$7:$O$78&lt;&gt;"",IF($L$7:$L$78&lt;&gt;"",ROW($L$7:$L$78)-MIN(ROW($L$7:$L$78))+1,""),""),ROW()-ROW(A$80)+1)),"##0"),","),"")</f>
        <v/>
      </c>
      <c r="M93" t="str">
        <f t="array" ref="M93">IFERROR(CONCATENATE((INDEX($O$7:$O$78,SMALL(IF($O$7:$O$78&lt;&gt;"",IF($L$7:$L$78&lt;&gt;"",ROW($L$7:$L$78)-MIN(ROW($L$7:$L$78))+1,""),""),ROW()-ROW(A$80)+1))),","),"")</f>
        <v/>
      </c>
      <c r="N93" t="str">
        <f t="array" ref="N93">IFERROR(CONCATENATE((INDEX($A$7:$A$78,SMALL(IF($O$7:$O$78&lt;&gt;"",IF($L$7:$L$78&lt;&gt;"",ROW($L$7:$L$78)-MIN(ROW($L$7:$L$78))+1,""),""),ROW()-ROW(A$80)+1))),),"")</f>
        <v/>
      </c>
      <c r="R93" t="str">
        <f t="array" ref="R93">IFERROR(CONCATENATE((INDEX($U$7:$U$78,SMALL(IF($U$7:$U$78&lt;&gt;"",IF($R$7:$R$78&lt;&gt;"",ROW($R$7:$R$78)-MIN(ROW($R$7:$R$78))+1,""),""),ROW()-ROW(A$80)+1)))," "),"")</f>
        <v/>
      </c>
      <c r="S93" t="str">
        <f t="array" ref="S93">IFERROR(CONCATENATE(TEXT(INDEX($R$7:$R$78,SMALL(IF($U$7:$U$78&lt;&gt;"",IF($R$7:$R$78&lt;&gt;"",ROW($R$7:$R$78)-MIN(ROW($R$7:$R$78))+1,""),""),ROW()-ROW(A$80)+1)),"##0")," "),"")</f>
        <v/>
      </c>
      <c r="T93" t="str">
        <f t="array" ref="T93">IFERROR(CONCATENATE((INDEX($A$7:$A$78,SMALL(IF($U$7:$U$78&lt;&gt;"",IF($R$7:$R$78&lt;&gt;"",ROW($R$7:$R$78)-MIN(ROW($R$7:$R$78))+1,""),""),ROW()-ROW(A$80)+1))),),"")</f>
        <v/>
      </c>
    </row>
    <row r="94" spans="12:20">
      <c r="L94" t="str">
        <f t="array" ref="L94">IFERROR(CONCATENATE(TEXT(INDEX($L$7:$L$78,SMALL(IF($O$7:$O$78&lt;&gt;"",IF($L$7:$L$78&lt;&gt;"",ROW($L$7:$L$78)-MIN(ROW($L$7:$L$78))+1,""),""),ROW()-ROW(A$80)+1)),"##0"),","),"")</f>
        <v/>
      </c>
      <c r="M94" t="str">
        <f t="array" ref="M94">IFERROR(CONCATENATE((INDEX($O$7:$O$78,SMALL(IF($O$7:$O$78&lt;&gt;"",IF($L$7:$L$78&lt;&gt;"",ROW($L$7:$L$78)-MIN(ROW($L$7:$L$78))+1,""),""),ROW()-ROW(A$80)+1))),","),"")</f>
        <v/>
      </c>
      <c r="N94" t="str">
        <f t="array" ref="N94">IFERROR(CONCATENATE((INDEX($A$7:$A$78,SMALL(IF($O$7:$O$78&lt;&gt;"",IF($L$7:$L$78&lt;&gt;"",ROW($L$7:$L$78)-MIN(ROW($L$7:$L$78))+1,""),""),ROW()-ROW(A$80)+1))),),"")</f>
        <v/>
      </c>
      <c r="R94" t="str">
        <f t="array" ref="R94">IFERROR(CONCATENATE((INDEX($U$7:$U$78,SMALL(IF($U$7:$U$78&lt;&gt;"",IF($R$7:$R$78&lt;&gt;"",ROW($R$7:$R$78)-MIN(ROW($R$7:$R$78))+1,""),""),ROW()-ROW(A$80)+1)))," "),"")</f>
        <v/>
      </c>
      <c r="S94" t="str">
        <f t="array" ref="S94">IFERROR(CONCATENATE(TEXT(INDEX($R$7:$R$78,SMALL(IF($U$7:$U$78&lt;&gt;"",IF($R$7:$R$78&lt;&gt;"",ROW($R$7:$R$78)-MIN(ROW($R$7:$R$78))+1,""),""),ROW()-ROW(A$80)+1)),"##0")," "),"")</f>
        <v/>
      </c>
      <c r="T94" t="str">
        <f t="array" ref="T94">IFERROR(CONCATENATE((INDEX($A$7:$A$78,SMALL(IF($U$7:$U$78&lt;&gt;"",IF($R$7:$R$78&lt;&gt;"",ROW($R$7:$R$78)-MIN(ROW($R$7:$R$78))+1,""),""),ROW()-ROW(A$80)+1))),),"")</f>
        <v/>
      </c>
    </row>
    <row r="95" spans="12:20">
      <c r="L95" t="str">
        <f t="array" ref="L95">IFERROR(CONCATENATE(TEXT(INDEX($L$7:$L$78,SMALL(IF($O$7:$O$78&lt;&gt;"",IF($L$7:$L$78&lt;&gt;"",ROW($L$7:$L$78)-MIN(ROW($L$7:$L$78))+1,""),""),ROW()-ROW(A$80)+1)),"##0"),","),"")</f>
        <v/>
      </c>
      <c r="M95" t="str">
        <f t="array" ref="M95">IFERROR(CONCATENATE((INDEX($O$7:$O$78,SMALL(IF($O$7:$O$78&lt;&gt;"",IF($L$7:$L$78&lt;&gt;"",ROW($L$7:$L$78)-MIN(ROW($L$7:$L$78))+1,""),""),ROW()-ROW(A$80)+1))),","),"")</f>
        <v/>
      </c>
      <c r="N95" t="str">
        <f t="array" ref="N95">IFERROR(CONCATENATE((INDEX($A$7:$A$78,SMALL(IF($O$7:$O$78&lt;&gt;"",IF($L$7:$L$78&lt;&gt;"",ROW($L$7:$L$78)-MIN(ROW($L$7:$L$78))+1,""),""),ROW()-ROW(A$80)+1))),),"")</f>
        <v/>
      </c>
      <c r="R95" t="str">
        <f t="array" ref="R95">IFERROR(CONCATENATE((INDEX($U$7:$U$78,SMALL(IF($U$7:$U$78&lt;&gt;"",IF($R$7:$R$78&lt;&gt;"",ROW($R$7:$R$78)-MIN(ROW($R$7:$R$78))+1,""),""),ROW()-ROW(A$80)+1)))," "),"")</f>
        <v/>
      </c>
      <c r="S95" t="str">
        <f t="array" ref="S95">IFERROR(CONCATENATE(TEXT(INDEX($R$7:$R$78,SMALL(IF($U$7:$U$78&lt;&gt;"",IF($R$7:$R$78&lt;&gt;"",ROW($R$7:$R$78)-MIN(ROW($R$7:$R$78))+1,""),""),ROW()-ROW(A$80)+1)),"##0")," "),"")</f>
        <v/>
      </c>
      <c r="T95" t="str">
        <f t="array" ref="T95">IFERROR(CONCATENATE((INDEX($A$7:$A$78,SMALL(IF($U$7:$U$78&lt;&gt;"",IF($R$7:$R$78&lt;&gt;"",ROW($R$7:$R$78)-MIN(ROW($R$7:$R$78))+1,""),""),ROW()-ROW(A$80)+1))),),"")</f>
        <v/>
      </c>
    </row>
    <row r="96" spans="12:20">
      <c r="L96" t="str">
        <f t="array" ref="L96">IFERROR(CONCATENATE(TEXT(INDEX($L$7:$L$78,SMALL(IF($O$7:$O$78&lt;&gt;"",IF($L$7:$L$78&lt;&gt;"",ROW($L$7:$L$78)-MIN(ROW($L$7:$L$78))+1,""),""),ROW()-ROW(A$80)+1)),"##0"),","),"")</f>
        <v/>
      </c>
      <c r="M96" t="str">
        <f t="array" ref="M96">IFERROR(CONCATENATE((INDEX($O$7:$O$78,SMALL(IF($O$7:$O$78&lt;&gt;"",IF($L$7:$L$78&lt;&gt;"",ROW($L$7:$L$78)-MIN(ROW($L$7:$L$78))+1,""),""),ROW()-ROW(A$80)+1))),","),"")</f>
        <v/>
      </c>
      <c r="N96" t="str">
        <f t="array" ref="N96">IFERROR(CONCATENATE((INDEX($A$7:$A$78,SMALL(IF($O$7:$O$78&lt;&gt;"",IF($L$7:$L$78&lt;&gt;"",ROW($L$7:$L$78)-MIN(ROW($L$7:$L$78))+1,""),""),ROW()-ROW(A$80)+1))),),"")</f>
        <v/>
      </c>
      <c r="R96" t="str">
        <f t="array" ref="R96">IFERROR(CONCATENATE((INDEX($U$7:$U$78,SMALL(IF($U$7:$U$78&lt;&gt;"",IF($R$7:$R$78&lt;&gt;"",ROW($R$7:$R$78)-MIN(ROW($R$7:$R$78))+1,""),""),ROW()-ROW(A$80)+1)))," "),"")</f>
        <v/>
      </c>
      <c r="S96" t="str">
        <f t="array" ref="S96">IFERROR(CONCATENATE(TEXT(INDEX($R$7:$R$78,SMALL(IF($U$7:$U$78&lt;&gt;"",IF($R$7:$R$78&lt;&gt;"",ROW($R$7:$R$78)-MIN(ROW($R$7:$R$78))+1,""),""),ROW()-ROW(A$80)+1)),"##0")," "),"")</f>
        <v/>
      </c>
      <c r="T96" t="str">
        <f t="array" ref="T96">IFERROR(CONCATENATE((INDEX($A$7:$A$78,SMALL(IF($U$7:$U$78&lt;&gt;"",IF($R$7:$R$78&lt;&gt;"",ROW($R$7:$R$78)-MIN(ROW($R$7:$R$78))+1,""),""),ROW()-ROW(A$80)+1))),),"")</f>
        <v/>
      </c>
    </row>
    <row r="97" spans="12:20">
      <c r="L97" t="str">
        <f t="array" ref="L97">IFERROR(CONCATENATE(TEXT(INDEX($L$7:$L$78,SMALL(IF($O$7:$O$78&lt;&gt;"",IF($L$7:$L$78&lt;&gt;"",ROW($L$7:$L$78)-MIN(ROW($L$7:$L$78))+1,""),""),ROW()-ROW(A$80)+1)),"##0"),","),"")</f>
        <v/>
      </c>
      <c r="M97" t="str">
        <f t="array" ref="M97">IFERROR(CONCATENATE((INDEX($O$7:$O$78,SMALL(IF($O$7:$O$78&lt;&gt;"",IF($L$7:$L$78&lt;&gt;"",ROW($L$7:$L$78)-MIN(ROW($L$7:$L$78))+1,""),""),ROW()-ROW(A$80)+1))),","),"")</f>
        <v/>
      </c>
      <c r="N97" t="str">
        <f t="array" ref="N97">IFERROR(CONCATENATE((INDEX($A$7:$A$78,SMALL(IF($O$7:$O$78&lt;&gt;"",IF($L$7:$L$78&lt;&gt;"",ROW($L$7:$L$78)-MIN(ROW($L$7:$L$78))+1,""),""),ROW()-ROW(A$80)+1))),),"")</f>
        <v/>
      </c>
      <c r="R97" t="str">
        <f t="array" ref="R97">IFERROR(CONCATENATE((INDEX($U$7:$U$78,SMALL(IF($U$7:$U$78&lt;&gt;"",IF($R$7:$R$78&lt;&gt;"",ROW($R$7:$R$78)-MIN(ROW($R$7:$R$78))+1,""),""),ROW()-ROW(A$80)+1)))," "),"")</f>
        <v/>
      </c>
      <c r="S97" t="str">
        <f t="array" ref="S97">IFERROR(CONCATENATE(TEXT(INDEX($R$7:$R$78,SMALL(IF($U$7:$U$78&lt;&gt;"",IF($R$7:$R$78&lt;&gt;"",ROW($R$7:$R$78)-MIN(ROW($R$7:$R$78))+1,""),""),ROW()-ROW(A$80)+1)),"##0")," "),"")</f>
        <v/>
      </c>
      <c r="T97" t="str">
        <f t="array" ref="T97">IFERROR(CONCATENATE((INDEX($A$7:$A$78,SMALL(IF($U$7:$U$78&lt;&gt;"",IF($R$7:$R$78&lt;&gt;"",ROW($R$7:$R$78)-MIN(ROW($R$7:$R$78))+1,""),""),ROW()-ROW(A$80)+1))),),"")</f>
        <v/>
      </c>
    </row>
    <row r="98" spans="12:20">
      <c r="L98" t="str">
        <f t="array" ref="L98">IFERROR(CONCATENATE(TEXT(INDEX($L$7:$L$78,SMALL(IF($O$7:$O$78&lt;&gt;"",IF($L$7:$L$78&lt;&gt;"",ROW($L$7:$L$78)-MIN(ROW($L$7:$L$78))+1,""),""),ROW()-ROW(A$80)+1)),"##0"),","),"")</f>
        <v/>
      </c>
      <c r="M98" t="str">
        <f t="array" ref="M98">IFERROR(CONCATENATE((INDEX($O$7:$O$78,SMALL(IF($O$7:$O$78&lt;&gt;"",IF($L$7:$L$78&lt;&gt;"",ROW($L$7:$L$78)-MIN(ROW($L$7:$L$78))+1,""),""),ROW()-ROW(A$80)+1))),","),"")</f>
        <v/>
      </c>
      <c r="N98" t="str">
        <f t="array" ref="N98">IFERROR(CONCATENATE((INDEX($A$7:$A$78,SMALL(IF($O$7:$O$78&lt;&gt;"",IF($L$7:$L$78&lt;&gt;"",ROW($L$7:$L$78)-MIN(ROW($L$7:$L$78))+1,""),""),ROW()-ROW(A$80)+1))),),"")</f>
        <v/>
      </c>
      <c r="R98" t="str">
        <f t="array" ref="R98">IFERROR(CONCATENATE((INDEX($U$7:$U$78,SMALL(IF($U$7:$U$78&lt;&gt;"",IF($R$7:$R$78&lt;&gt;"",ROW($R$7:$R$78)-MIN(ROW($R$7:$R$78))+1,""),""),ROW()-ROW(A$80)+1)))," "),"")</f>
        <v/>
      </c>
      <c r="S98" t="str">
        <f t="array" ref="S98">IFERROR(CONCATENATE(TEXT(INDEX($R$7:$R$78,SMALL(IF($U$7:$U$78&lt;&gt;"",IF($R$7:$R$78&lt;&gt;"",ROW($R$7:$R$78)-MIN(ROW($R$7:$R$78))+1,""),""),ROW()-ROW(A$80)+1)),"##0")," "),"")</f>
        <v/>
      </c>
      <c r="T98" t="str">
        <f t="array" ref="T98">IFERROR(CONCATENATE((INDEX($A$7:$A$78,SMALL(IF($U$7:$U$78&lt;&gt;"",IF($R$7:$R$78&lt;&gt;"",ROW($R$7:$R$78)-MIN(ROW($R$7:$R$78))+1,""),""),ROW()-ROW(A$80)+1))),),"")</f>
        <v/>
      </c>
    </row>
    <row r="99" spans="12:20">
      <c r="L99" t="str">
        <f t="array" ref="L99">IFERROR(CONCATENATE(TEXT(INDEX($L$7:$L$78,SMALL(IF($O$7:$O$78&lt;&gt;"",IF($L$7:$L$78&lt;&gt;"",ROW($L$7:$L$78)-MIN(ROW($L$7:$L$78))+1,""),""),ROW()-ROW(A$80)+1)),"##0"),","),"")</f>
        <v/>
      </c>
      <c r="M99" t="str">
        <f t="array" ref="M99">IFERROR(CONCATENATE((INDEX($O$7:$O$78,SMALL(IF($O$7:$O$78&lt;&gt;"",IF($L$7:$L$78&lt;&gt;"",ROW($L$7:$L$78)-MIN(ROW($L$7:$L$78))+1,""),""),ROW()-ROW(A$80)+1))),","),"")</f>
        <v/>
      </c>
      <c r="N99" t="str">
        <f t="array" ref="N99">IFERROR(CONCATENATE((INDEX($A$7:$A$78,SMALL(IF($O$7:$O$78&lt;&gt;"",IF($L$7:$L$78&lt;&gt;"",ROW($L$7:$L$78)-MIN(ROW($L$7:$L$78))+1,""),""),ROW()-ROW(A$80)+1))),),"")</f>
        <v/>
      </c>
      <c r="R99" t="str">
        <f t="array" ref="R99">IFERROR(CONCATENATE((INDEX($U$7:$U$78,SMALL(IF($U$7:$U$78&lt;&gt;"",IF($R$7:$R$78&lt;&gt;"",ROW($R$7:$R$78)-MIN(ROW($R$7:$R$78))+1,""),""),ROW()-ROW(A$80)+1)))," "),"")</f>
        <v/>
      </c>
      <c r="S99" t="str">
        <f t="array" ref="S99">IFERROR(CONCATENATE(TEXT(INDEX($R$7:$R$78,SMALL(IF($U$7:$U$78&lt;&gt;"",IF($R$7:$R$78&lt;&gt;"",ROW($R$7:$R$78)-MIN(ROW($R$7:$R$78))+1,""),""),ROW()-ROW(A$80)+1)),"##0")," "),"")</f>
        <v/>
      </c>
      <c r="T99" t="str">
        <f t="array" ref="T99">IFERROR(CONCATENATE((INDEX($A$7:$A$78,SMALL(IF($U$7:$U$78&lt;&gt;"",IF($R$7:$R$78&lt;&gt;"",ROW($R$7:$R$78)-MIN(ROW($R$7:$R$78))+1,""),""),ROW()-ROW(A$80)+1))),),"")</f>
        <v/>
      </c>
    </row>
    <row r="100" spans="12:20">
      <c r="L100" t="str">
        <f t="array" ref="L100">IFERROR(CONCATENATE(TEXT(INDEX($L$7:$L$78,SMALL(IF($O$7:$O$78&lt;&gt;"",IF($L$7:$L$78&lt;&gt;"",ROW($L$7:$L$78)-MIN(ROW($L$7:$L$78))+1,""),""),ROW()-ROW(A$80)+1)),"##0"),","),"")</f>
        <v/>
      </c>
      <c r="M100" t="str">
        <f t="array" ref="M100">IFERROR(CONCATENATE((INDEX($O$7:$O$78,SMALL(IF($O$7:$O$78&lt;&gt;"",IF($L$7:$L$78&lt;&gt;"",ROW($L$7:$L$78)-MIN(ROW($L$7:$L$78))+1,""),""),ROW()-ROW(A$80)+1))),","),"")</f>
        <v/>
      </c>
      <c r="N100" t="str">
        <f t="array" ref="N100">IFERROR(CONCATENATE((INDEX($A$7:$A$78,SMALL(IF($O$7:$O$78&lt;&gt;"",IF($L$7:$L$78&lt;&gt;"",ROW($L$7:$L$78)-MIN(ROW($L$7:$L$78))+1,""),""),ROW()-ROW(A$80)+1))),),"")</f>
        <v/>
      </c>
      <c r="R100" t="str">
        <f t="array" ref="R100">IFERROR(CONCATENATE((INDEX($U$7:$U$78,SMALL(IF($U$7:$U$78&lt;&gt;"",IF($R$7:$R$78&lt;&gt;"",ROW($R$7:$R$78)-MIN(ROW($R$7:$R$78))+1,""),""),ROW()-ROW(A$80)+1)))," "),"")</f>
        <v/>
      </c>
      <c r="S100" t="str">
        <f t="array" ref="S100">IFERROR(CONCATENATE(TEXT(INDEX($R$7:$R$78,SMALL(IF($U$7:$U$78&lt;&gt;"",IF($R$7:$R$78&lt;&gt;"",ROW($R$7:$R$78)-MIN(ROW($R$7:$R$78))+1,""),""),ROW()-ROW(A$80)+1)),"##0")," "),"")</f>
        <v/>
      </c>
      <c r="T100" t="str">
        <f t="array" ref="T100">IFERROR(CONCATENATE((INDEX($A$7:$A$78,SMALL(IF($U$7:$U$78&lt;&gt;"",IF($R$7:$R$78&lt;&gt;"",ROW($R$7:$R$78)-MIN(ROW($R$7:$R$78))+1,""),""),ROW()-ROW(A$80)+1))),),"")</f>
        <v/>
      </c>
    </row>
    <row r="101" spans="12:20">
      <c r="L101" t="str">
        <f t="array" ref="L101">IFERROR(CONCATENATE(TEXT(INDEX($L$7:$L$78,SMALL(IF($O$7:$O$78&lt;&gt;"",IF($L$7:$L$78&lt;&gt;"",ROW($L$7:$L$78)-MIN(ROW($L$7:$L$78))+1,""),""),ROW()-ROW(A$80)+1)),"##0"),","),"")</f>
        <v/>
      </c>
      <c r="M101" t="str">
        <f t="array" ref="M101">IFERROR(CONCATENATE((INDEX($O$7:$O$78,SMALL(IF($O$7:$O$78&lt;&gt;"",IF($L$7:$L$78&lt;&gt;"",ROW($L$7:$L$78)-MIN(ROW($L$7:$L$78))+1,""),""),ROW()-ROW(A$80)+1))),","),"")</f>
        <v/>
      </c>
      <c r="N101" t="str">
        <f t="array" ref="N101">IFERROR(CONCATENATE((INDEX($A$7:$A$78,SMALL(IF($O$7:$O$78&lt;&gt;"",IF($L$7:$L$78&lt;&gt;"",ROW($L$7:$L$78)-MIN(ROW($L$7:$L$78))+1,""),""),ROW()-ROW(A$80)+1))),),"")</f>
        <v/>
      </c>
      <c r="R101" t="str">
        <f t="array" ref="R101">IFERROR(CONCATENATE((INDEX($U$7:$U$78,SMALL(IF($U$7:$U$78&lt;&gt;"",IF($R$7:$R$78&lt;&gt;"",ROW($R$7:$R$78)-MIN(ROW($R$7:$R$78))+1,""),""),ROW()-ROW(A$80)+1)))," "),"")</f>
        <v/>
      </c>
      <c r="S101" t="str">
        <f t="array" ref="S101">IFERROR(CONCATENATE(TEXT(INDEX($R$7:$R$78,SMALL(IF($U$7:$U$78&lt;&gt;"",IF($R$7:$R$78&lt;&gt;"",ROW($R$7:$R$78)-MIN(ROW($R$7:$R$78))+1,""),""),ROW()-ROW(A$80)+1)),"##0")," "),"")</f>
        <v/>
      </c>
      <c r="T101" t="str">
        <f t="array" ref="T101">IFERROR(CONCATENATE((INDEX($A$7:$A$78,SMALL(IF($U$7:$U$78&lt;&gt;"",IF($R$7:$R$78&lt;&gt;"",ROW($R$7:$R$78)-MIN(ROW($R$7:$R$78))+1,""),""),ROW()-ROW(A$80)+1))),),"")</f>
        <v/>
      </c>
    </row>
    <row r="102" spans="12:20">
      <c r="L102" t="str">
        <f t="array" ref="L102">IFERROR(CONCATENATE(TEXT(INDEX($L$7:$L$78,SMALL(IF($O$7:$O$78&lt;&gt;"",IF($L$7:$L$78&lt;&gt;"",ROW($L$7:$L$78)-MIN(ROW($L$7:$L$78))+1,""),""),ROW()-ROW(A$80)+1)),"##0"),","),"")</f>
        <v/>
      </c>
      <c r="M102" t="str">
        <f t="array" ref="M102">IFERROR(CONCATENATE((INDEX($O$7:$O$78,SMALL(IF($O$7:$O$78&lt;&gt;"",IF($L$7:$L$78&lt;&gt;"",ROW($L$7:$L$78)-MIN(ROW($L$7:$L$78))+1,""),""),ROW()-ROW(A$80)+1))),","),"")</f>
        <v/>
      </c>
      <c r="N102" t="str">
        <f t="array" ref="N102">IFERROR(CONCATENATE((INDEX($A$7:$A$78,SMALL(IF($O$7:$O$78&lt;&gt;"",IF($L$7:$L$78&lt;&gt;"",ROW($L$7:$L$78)-MIN(ROW($L$7:$L$78))+1,""),""),ROW()-ROW(A$80)+1))),),"")</f>
        <v/>
      </c>
      <c r="R102" t="str">
        <f t="array" ref="R102">IFERROR(CONCATENATE((INDEX($U$7:$U$78,SMALL(IF($U$7:$U$78&lt;&gt;"",IF($R$7:$R$78&lt;&gt;"",ROW($R$7:$R$78)-MIN(ROW($R$7:$R$78))+1,""),""),ROW()-ROW(A$80)+1)))," "),"")</f>
        <v/>
      </c>
      <c r="S102" t="str">
        <f t="array" ref="S102">IFERROR(CONCATENATE(TEXT(INDEX($R$7:$R$78,SMALL(IF($U$7:$U$78&lt;&gt;"",IF($R$7:$R$78&lt;&gt;"",ROW($R$7:$R$78)-MIN(ROW($R$7:$R$78))+1,""),""),ROW()-ROW(A$80)+1)),"##0")," "),"")</f>
        <v/>
      </c>
      <c r="T102" t="str">
        <f t="array" ref="T102">IFERROR(CONCATENATE((INDEX($A$7:$A$78,SMALL(IF($U$7:$U$78&lt;&gt;"",IF($R$7:$R$78&lt;&gt;"",ROW($R$7:$R$78)-MIN(ROW($R$7:$R$78))+1,""),""),ROW()-ROW(A$80)+1))),),"")</f>
        <v/>
      </c>
    </row>
    <row r="103" spans="12:20">
      <c r="L103" t="str">
        <f t="array" ref="L103">IFERROR(CONCATENATE(TEXT(INDEX($L$7:$L$78,SMALL(IF($O$7:$O$78&lt;&gt;"",IF($L$7:$L$78&lt;&gt;"",ROW($L$7:$L$78)-MIN(ROW($L$7:$L$78))+1,""),""),ROW()-ROW(A$80)+1)),"##0"),","),"")</f>
        <v/>
      </c>
      <c r="M103" t="str">
        <f t="array" ref="M103">IFERROR(CONCATENATE((INDEX($O$7:$O$78,SMALL(IF($O$7:$O$78&lt;&gt;"",IF($L$7:$L$78&lt;&gt;"",ROW($L$7:$L$78)-MIN(ROW($L$7:$L$78))+1,""),""),ROW()-ROW(A$80)+1))),","),"")</f>
        <v/>
      </c>
      <c r="N103" t="str">
        <f t="array" ref="N103">IFERROR(CONCATENATE((INDEX($A$7:$A$78,SMALL(IF($O$7:$O$78&lt;&gt;"",IF($L$7:$L$78&lt;&gt;"",ROW($L$7:$L$78)-MIN(ROW($L$7:$L$78))+1,""),""),ROW()-ROW(A$80)+1))),),"")</f>
        <v/>
      </c>
      <c r="R103" t="str">
        <f t="array" ref="R103">IFERROR(CONCATENATE((INDEX($U$7:$U$78,SMALL(IF($U$7:$U$78&lt;&gt;"",IF($R$7:$R$78&lt;&gt;"",ROW($R$7:$R$78)-MIN(ROW($R$7:$R$78))+1,""),""),ROW()-ROW(A$80)+1)))," "),"")</f>
        <v/>
      </c>
      <c r="S103" t="str">
        <f t="array" ref="S103">IFERROR(CONCATENATE(TEXT(INDEX($R$7:$R$78,SMALL(IF($U$7:$U$78&lt;&gt;"",IF($R$7:$R$78&lt;&gt;"",ROW($R$7:$R$78)-MIN(ROW($R$7:$R$78))+1,""),""),ROW()-ROW(A$80)+1)),"##0")," "),"")</f>
        <v/>
      </c>
      <c r="T103" t="str">
        <f t="array" ref="T103">IFERROR(CONCATENATE((INDEX($A$7:$A$78,SMALL(IF($U$7:$U$78&lt;&gt;"",IF($R$7:$R$78&lt;&gt;"",ROW($R$7:$R$78)-MIN(ROW($R$7:$R$78))+1,""),""),ROW()-ROW(A$80)+1))),),"")</f>
        <v/>
      </c>
    </row>
    <row r="104" spans="12:20">
      <c r="L104" t="str">
        <f t="array" ref="L104">IFERROR(CONCATENATE(TEXT(INDEX($L$7:$L$78,SMALL(IF($O$7:$O$78&lt;&gt;"",IF($L$7:$L$78&lt;&gt;"",ROW($L$7:$L$78)-MIN(ROW($L$7:$L$78))+1,""),""),ROW()-ROW(A$80)+1)),"##0"),","),"")</f>
        <v/>
      </c>
      <c r="M104" t="str">
        <f t="array" ref="M104">IFERROR(CONCATENATE((INDEX($O$7:$O$78,SMALL(IF($O$7:$O$78&lt;&gt;"",IF($L$7:$L$78&lt;&gt;"",ROW($L$7:$L$78)-MIN(ROW($L$7:$L$78))+1,""),""),ROW()-ROW(A$80)+1))),","),"")</f>
        <v/>
      </c>
      <c r="N104" t="str">
        <f t="array" ref="N104">IFERROR(CONCATENATE((INDEX($A$7:$A$78,SMALL(IF($O$7:$O$78&lt;&gt;"",IF($L$7:$L$78&lt;&gt;"",ROW($L$7:$L$78)-MIN(ROW($L$7:$L$78))+1,""),""),ROW()-ROW(A$80)+1))),),"")</f>
        <v/>
      </c>
      <c r="R104" t="str">
        <f t="array" ref="R104">IFERROR(CONCATENATE((INDEX($U$7:$U$78,SMALL(IF($U$7:$U$78&lt;&gt;"",IF($R$7:$R$78&lt;&gt;"",ROW($R$7:$R$78)-MIN(ROW($R$7:$R$78))+1,""),""),ROW()-ROW(A$80)+1)))," "),"")</f>
        <v/>
      </c>
      <c r="S104" t="str">
        <f t="array" ref="S104">IFERROR(CONCATENATE(TEXT(INDEX($R$7:$R$78,SMALL(IF($U$7:$U$78&lt;&gt;"",IF($R$7:$R$78&lt;&gt;"",ROW($R$7:$R$78)-MIN(ROW($R$7:$R$78))+1,""),""),ROW()-ROW(A$80)+1)),"##0")," "),"")</f>
        <v/>
      </c>
      <c r="T104" t="str">
        <f t="array" ref="T104">IFERROR(CONCATENATE((INDEX($A$7:$A$78,SMALL(IF($U$7:$U$78&lt;&gt;"",IF($R$7:$R$78&lt;&gt;"",ROW($R$7:$R$78)-MIN(ROW($R$7:$R$78))+1,""),""),ROW()-ROW(A$80)+1))),),"")</f>
        <v/>
      </c>
    </row>
    <row r="105" spans="12:20">
      <c r="L105" t="str">
        <f t="array" ref="L105">IFERROR(CONCATENATE(TEXT(INDEX($L$7:$L$78,SMALL(IF($O$7:$O$78&lt;&gt;"",IF($L$7:$L$78&lt;&gt;"",ROW($L$7:$L$78)-MIN(ROW($L$7:$L$78))+1,""),""),ROW()-ROW(A$80)+1)),"##0"),","),"")</f>
        <v/>
      </c>
      <c r="M105" t="str">
        <f t="array" ref="M105">IFERROR(CONCATENATE((INDEX($O$7:$O$78,SMALL(IF($O$7:$O$78&lt;&gt;"",IF($L$7:$L$78&lt;&gt;"",ROW($L$7:$L$78)-MIN(ROW($L$7:$L$78))+1,""),""),ROW()-ROW(A$80)+1))),","),"")</f>
        <v/>
      </c>
      <c r="N105" t="str">
        <f t="array" ref="N105">IFERROR(CONCATENATE((INDEX($A$7:$A$78,SMALL(IF($O$7:$O$78&lt;&gt;"",IF($L$7:$L$78&lt;&gt;"",ROW($L$7:$L$78)-MIN(ROW($L$7:$L$78))+1,""),""),ROW()-ROW(A$80)+1))),),"")</f>
        <v/>
      </c>
      <c r="R105" t="str">
        <f t="array" ref="R105">IFERROR(CONCATENATE((INDEX($U$7:$U$78,SMALL(IF($U$7:$U$78&lt;&gt;"",IF($R$7:$R$78&lt;&gt;"",ROW($R$7:$R$78)-MIN(ROW($R$7:$R$78))+1,""),""),ROW()-ROW(A$80)+1)))," "),"")</f>
        <v/>
      </c>
      <c r="S105" t="str">
        <f t="array" ref="S105">IFERROR(CONCATENATE(TEXT(INDEX($R$7:$R$78,SMALL(IF($U$7:$U$78&lt;&gt;"",IF($R$7:$R$78&lt;&gt;"",ROW($R$7:$R$78)-MIN(ROW($R$7:$R$78))+1,""),""),ROW()-ROW(A$80)+1)),"##0")," "),"")</f>
        <v/>
      </c>
      <c r="T105" t="str">
        <f t="array" ref="T105">IFERROR(CONCATENATE((INDEX($A$7:$A$78,SMALL(IF($U$7:$U$78&lt;&gt;"",IF($R$7:$R$78&lt;&gt;"",ROW($R$7:$R$78)-MIN(ROW($R$7:$R$78))+1,""),""),ROW()-ROW(A$80)+1))),),"")</f>
        <v/>
      </c>
    </row>
    <row r="106" spans="12:20">
      <c r="L106" t="str">
        <f t="array" ref="L106">IFERROR(CONCATENATE(TEXT(INDEX($L$7:$L$78,SMALL(IF($O$7:$O$78&lt;&gt;"",IF($L$7:$L$78&lt;&gt;"",ROW($L$7:$L$78)-MIN(ROW($L$7:$L$78))+1,""),""),ROW()-ROW(A$80)+1)),"##0"),","),"")</f>
        <v/>
      </c>
      <c r="M106" t="str">
        <f t="array" ref="M106">IFERROR(CONCATENATE((INDEX($O$7:$O$78,SMALL(IF($O$7:$O$78&lt;&gt;"",IF($L$7:$L$78&lt;&gt;"",ROW($L$7:$L$78)-MIN(ROW($L$7:$L$78))+1,""),""),ROW()-ROW(A$80)+1))),","),"")</f>
        <v/>
      </c>
      <c r="N106" t="str">
        <f t="array" ref="N106">IFERROR(CONCATENATE((INDEX($A$7:$A$78,SMALL(IF($O$7:$O$78&lt;&gt;"",IF($L$7:$L$78&lt;&gt;"",ROW($L$7:$L$78)-MIN(ROW($L$7:$L$78))+1,""),""),ROW()-ROW(A$80)+1))),),"")</f>
        <v/>
      </c>
      <c r="R106" t="str">
        <f t="array" ref="R106">IFERROR(CONCATENATE((INDEX($U$7:$U$78,SMALL(IF($U$7:$U$78&lt;&gt;"",IF($R$7:$R$78&lt;&gt;"",ROW($R$7:$R$78)-MIN(ROW($R$7:$R$78))+1,""),""),ROW()-ROW(A$80)+1)))," "),"")</f>
        <v/>
      </c>
      <c r="S106" t="str">
        <f t="array" ref="S106">IFERROR(CONCATENATE(TEXT(INDEX($R$7:$R$78,SMALL(IF($U$7:$U$78&lt;&gt;"",IF($R$7:$R$78&lt;&gt;"",ROW($R$7:$R$78)-MIN(ROW($R$7:$R$78))+1,""),""),ROW()-ROW(A$80)+1)),"##0")," "),"")</f>
        <v/>
      </c>
      <c r="T106" t="str">
        <f t="array" ref="T106">IFERROR(CONCATENATE((INDEX($A$7:$A$78,SMALL(IF($U$7:$U$78&lt;&gt;"",IF($R$7:$R$78&lt;&gt;"",ROW($R$7:$R$78)-MIN(ROW($R$7:$R$78))+1,""),""),ROW()-ROW(A$80)+1))),),"")</f>
        <v/>
      </c>
    </row>
    <row r="107" spans="12:20">
      <c r="L107" t="str">
        <f t="array" ref="L107">IFERROR(CONCATENATE(TEXT(INDEX($L$7:$L$78,SMALL(IF($O$7:$O$78&lt;&gt;"",IF($L$7:$L$78&lt;&gt;"",ROW($L$7:$L$78)-MIN(ROW($L$7:$L$78))+1,""),""),ROW()-ROW(A$80)+1)),"##0"),","),"")</f>
        <v/>
      </c>
      <c r="M107" t="str">
        <f t="array" ref="M107">IFERROR(CONCATENATE((INDEX($O$7:$O$78,SMALL(IF($O$7:$O$78&lt;&gt;"",IF($L$7:$L$78&lt;&gt;"",ROW($L$7:$L$78)-MIN(ROW($L$7:$L$78))+1,""),""),ROW()-ROW(A$80)+1))),","),"")</f>
        <v/>
      </c>
      <c r="N107" t="str">
        <f t="array" ref="N107">IFERROR(CONCATENATE((INDEX($A$7:$A$78,SMALL(IF($O$7:$O$78&lt;&gt;"",IF($L$7:$L$78&lt;&gt;"",ROW($L$7:$L$78)-MIN(ROW($L$7:$L$78))+1,""),""),ROW()-ROW(A$80)+1))),),"")</f>
        <v/>
      </c>
      <c r="R107" t="str">
        <f t="array" ref="R107">IFERROR(CONCATENATE((INDEX($U$7:$U$78,SMALL(IF($U$7:$U$78&lt;&gt;"",IF($R$7:$R$78&lt;&gt;"",ROW($R$7:$R$78)-MIN(ROW($R$7:$R$78))+1,""),""),ROW()-ROW(A$80)+1)))," "),"")</f>
        <v/>
      </c>
      <c r="S107" t="str">
        <f t="array" ref="S107">IFERROR(CONCATENATE(TEXT(INDEX($R$7:$R$78,SMALL(IF($U$7:$U$78&lt;&gt;"",IF($R$7:$R$78&lt;&gt;"",ROW($R$7:$R$78)-MIN(ROW($R$7:$R$78))+1,""),""),ROW()-ROW(A$80)+1)),"##0")," "),"")</f>
        <v/>
      </c>
      <c r="T107" t="str">
        <f t="array" ref="T107">IFERROR(CONCATENATE((INDEX($A$7:$A$78,SMALL(IF($U$7:$U$78&lt;&gt;"",IF($R$7:$R$78&lt;&gt;"",ROW($R$7:$R$78)-MIN(ROW($R$7:$R$78))+1,""),""),ROW()-ROW(A$80)+1))),),"")</f>
        <v/>
      </c>
    </row>
    <row r="108" spans="12:20">
      <c r="L108" t="str">
        <f t="array" ref="L108">IFERROR(CONCATENATE(TEXT(INDEX($L$7:$L$78,SMALL(IF($O$7:$O$78&lt;&gt;"",IF($L$7:$L$78&lt;&gt;"",ROW($L$7:$L$78)-MIN(ROW($L$7:$L$78))+1,""),""),ROW()-ROW(A$80)+1)),"##0"),","),"")</f>
        <v/>
      </c>
      <c r="M108" t="str">
        <f t="array" ref="M108">IFERROR(CONCATENATE((INDEX($O$7:$O$78,SMALL(IF($O$7:$O$78&lt;&gt;"",IF($L$7:$L$78&lt;&gt;"",ROW($L$7:$L$78)-MIN(ROW($L$7:$L$78))+1,""),""),ROW()-ROW(A$80)+1))),","),"")</f>
        <v/>
      </c>
      <c r="N108" t="str">
        <f t="array" ref="N108">IFERROR(CONCATENATE((INDEX($A$7:$A$78,SMALL(IF($O$7:$O$78&lt;&gt;"",IF($L$7:$L$78&lt;&gt;"",ROW($L$7:$L$78)-MIN(ROW($L$7:$L$78))+1,""),""),ROW()-ROW(A$80)+1))),),"")</f>
        <v/>
      </c>
      <c r="R108" t="str">
        <f t="array" ref="R108">IFERROR(CONCATENATE((INDEX($U$7:$U$78,SMALL(IF($U$7:$U$78&lt;&gt;"",IF($R$7:$R$78&lt;&gt;"",ROW($R$7:$R$78)-MIN(ROW($R$7:$R$78))+1,""),""),ROW()-ROW(A$80)+1)))," "),"")</f>
        <v/>
      </c>
      <c r="S108" t="str">
        <f t="array" ref="S108">IFERROR(CONCATENATE(TEXT(INDEX($R$7:$R$78,SMALL(IF($U$7:$U$78&lt;&gt;"",IF($R$7:$R$78&lt;&gt;"",ROW($R$7:$R$78)-MIN(ROW($R$7:$R$78))+1,""),""),ROW()-ROW(A$80)+1)),"##0")," "),"")</f>
        <v/>
      </c>
      <c r="T108" t="str">
        <f t="array" ref="T108">IFERROR(CONCATENATE((INDEX($A$7:$A$78,SMALL(IF($U$7:$U$78&lt;&gt;"",IF($R$7:$R$78&lt;&gt;"",ROW($R$7:$R$78)-MIN(ROW($R$7:$R$78))+1,""),""),ROW()-ROW(A$80)+1))),),"")</f>
        <v/>
      </c>
    </row>
    <row r="109" spans="12:20">
      <c r="L109" t="str">
        <f t="array" ref="L109">IFERROR(CONCATENATE(TEXT(INDEX($L$7:$L$78,SMALL(IF($O$7:$O$78&lt;&gt;"",IF($L$7:$L$78&lt;&gt;"",ROW($L$7:$L$78)-MIN(ROW($L$7:$L$78))+1,""),""),ROW()-ROW(A$80)+1)),"##0"),","),"")</f>
        <v/>
      </c>
      <c r="M109" t="str">
        <f t="array" ref="M109">IFERROR(CONCATENATE((INDEX($O$7:$O$78,SMALL(IF($O$7:$O$78&lt;&gt;"",IF($L$7:$L$78&lt;&gt;"",ROW($L$7:$L$78)-MIN(ROW($L$7:$L$78))+1,""),""),ROW()-ROW(A$80)+1))),","),"")</f>
        <v/>
      </c>
      <c r="N109" t="str">
        <f t="array" ref="N109">IFERROR(CONCATENATE((INDEX($A$7:$A$78,SMALL(IF($O$7:$O$78&lt;&gt;"",IF($L$7:$L$78&lt;&gt;"",ROW($L$7:$L$78)-MIN(ROW($L$7:$L$78))+1,""),""),ROW()-ROW(A$80)+1))),),"")</f>
        <v/>
      </c>
      <c r="R109" t="str">
        <f t="array" ref="R109">IFERROR(CONCATENATE((INDEX($U$7:$U$78,SMALL(IF($U$7:$U$78&lt;&gt;"",IF($R$7:$R$78&lt;&gt;"",ROW($R$7:$R$78)-MIN(ROW($R$7:$R$78))+1,""),""),ROW()-ROW(A$80)+1)))," "),"")</f>
        <v/>
      </c>
      <c r="S109" t="str">
        <f t="array" ref="S109">IFERROR(CONCATENATE(TEXT(INDEX($R$7:$R$78,SMALL(IF($U$7:$U$78&lt;&gt;"",IF($R$7:$R$78&lt;&gt;"",ROW($R$7:$R$78)-MIN(ROW($R$7:$R$78))+1,""),""),ROW()-ROW(A$80)+1)),"##0")," "),"")</f>
        <v/>
      </c>
      <c r="T109" t="str">
        <f t="array" ref="T109">IFERROR(CONCATENATE((INDEX($A$7:$A$78,SMALL(IF($U$7:$U$78&lt;&gt;"",IF($R$7:$R$78&lt;&gt;"",ROW($R$7:$R$78)-MIN(ROW($R$7:$R$78))+1,""),""),ROW()-ROW(A$80)+1))),),"")</f>
        <v/>
      </c>
    </row>
    <row r="110" spans="12:20">
      <c r="L110" t="str">
        <f t="array" ref="L110">IFERROR(CONCATENATE(TEXT(INDEX($L$7:$L$78,SMALL(IF($O$7:$O$78&lt;&gt;"",IF($L$7:$L$78&lt;&gt;"",ROW($L$7:$L$78)-MIN(ROW($L$7:$L$78))+1,""),""),ROW()-ROW(A$80)+1)),"##0"),","),"")</f>
        <v/>
      </c>
      <c r="M110" t="str">
        <f t="array" ref="M110">IFERROR(CONCATENATE((INDEX($O$7:$O$78,SMALL(IF($O$7:$O$78&lt;&gt;"",IF($L$7:$L$78&lt;&gt;"",ROW($L$7:$L$78)-MIN(ROW($L$7:$L$78))+1,""),""),ROW()-ROW(A$80)+1))),","),"")</f>
        <v/>
      </c>
      <c r="N110" t="str">
        <f t="array" ref="N110">IFERROR(CONCATENATE((INDEX($A$7:$A$78,SMALL(IF($O$7:$O$78&lt;&gt;"",IF($L$7:$L$78&lt;&gt;"",ROW($L$7:$L$78)-MIN(ROW($L$7:$L$78))+1,""),""),ROW()-ROW(A$80)+1))),),"")</f>
        <v/>
      </c>
      <c r="R110" t="str">
        <f t="array" ref="R110">IFERROR(CONCATENATE((INDEX($U$7:$U$78,SMALL(IF($U$7:$U$78&lt;&gt;"",IF($R$7:$R$78&lt;&gt;"",ROW($R$7:$R$78)-MIN(ROW($R$7:$R$78))+1,""),""),ROW()-ROW(A$80)+1)))," "),"")</f>
        <v/>
      </c>
      <c r="S110" t="str">
        <f t="array" ref="S110">IFERROR(CONCATENATE(TEXT(INDEX($R$7:$R$78,SMALL(IF($U$7:$U$78&lt;&gt;"",IF($R$7:$R$78&lt;&gt;"",ROW($R$7:$R$78)-MIN(ROW($R$7:$R$78))+1,""),""),ROW()-ROW(A$80)+1)),"##0")," "),"")</f>
        <v/>
      </c>
      <c r="T110" t="str">
        <f t="array" ref="T110">IFERROR(CONCATENATE((INDEX($A$7:$A$78,SMALL(IF($U$7:$U$78&lt;&gt;"",IF($R$7:$R$78&lt;&gt;"",ROW($R$7:$R$78)-MIN(ROW($R$7:$R$78))+1,""),""),ROW()-ROW(A$80)+1))),),"")</f>
        <v/>
      </c>
    </row>
    <row r="111" spans="12:20">
      <c r="L111" t="str">
        <f t="array" ref="L111">IFERROR(CONCATENATE(TEXT(INDEX($L$7:$L$78,SMALL(IF($O$7:$O$78&lt;&gt;"",IF($L$7:$L$78&lt;&gt;"",ROW($L$7:$L$78)-MIN(ROW($L$7:$L$78))+1,""),""),ROW()-ROW(A$80)+1)),"##0"),","),"")</f>
        <v/>
      </c>
      <c r="M111" t="str">
        <f t="array" ref="M111">IFERROR(CONCATENATE((INDEX($O$7:$O$78,SMALL(IF($O$7:$O$78&lt;&gt;"",IF($L$7:$L$78&lt;&gt;"",ROW($L$7:$L$78)-MIN(ROW($L$7:$L$78))+1,""),""),ROW()-ROW(A$80)+1))),","),"")</f>
        <v/>
      </c>
      <c r="N111" t="str">
        <f t="array" ref="N111">IFERROR(CONCATENATE((INDEX($A$7:$A$78,SMALL(IF($O$7:$O$78&lt;&gt;"",IF($L$7:$L$78&lt;&gt;"",ROW($L$7:$L$78)-MIN(ROW($L$7:$L$78))+1,""),""),ROW()-ROW(A$80)+1))),),"")</f>
        <v/>
      </c>
      <c r="R111" t="str">
        <f t="array" ref="R111">IFERROR(CONCATENATE((INDEX($U$7:$U$78,SMALL(IF($U$7:$U$78&lt;&gt;"",IF($R$7:$R$78&lt;&gt;"",ROW($R$7:$R$78)-MIN(ROW($R$7:$R$78))+1,""),""),ROW()-ROW(A$80)+1)))," "),"")</f>
        <v/>
      </c>
      <c r="S111" t="str">
        <f t="array" ref="S111">IFERROR(CONCATENATE(TEXT(INDEX($R$7:$R$78,SMALL(IF($U$7:$U$78&lt;&gt;"",IF($R$7:$R$78&lt;&gt;"",ROW($R$7:$R$78)-MIN(ROW($R$7:$R$78))+1,""),""),ROW()-ROW(A$80)+1)),"##0")," "),"")</f>
        <v/>
      </c>
      <c r="T111" t="str">
        <f t="array" ref="T111">IFERROR(CONCATENATE((INDEX($A$7:$A$78,SMALL(IF($U$7:$U$78&lt;&gt;"",IF($R$7:$R$78&lt;&gt;"",ROW($R$7:$R$78)-MIN(ROW($R$7:$R$78))+1,""),""),ROW()-ROW(A$80)+1))),),"")</f>
        <v/>
      </c>
    </row>
    <row r="112" spans="12:20">
      <c r="L112" t="str">
        <f t="array" ref="L112">IFERROR(CONCATENATE(TEXT(INDEX($L$7:$L$78,SMALL(IF($O$7:$O$78&lt;&gt;"",IF($L$7:$L$78&lt;&gt;"",ROW($L$7:$L$78)-MIN(ROW($L$7:$L$78))+1,""),""),ROW()-ROW(A$80)+1)),"##0"),","),"")</f>
        <v/>
      </c>
      <c r="M112" t="str">
        <f t="array" ref="M112">IFERROR(CONCATENATE((INDEX($O$7:$O$78,SMALL(IF($O$7:$O$78&lt;&gt;"",IF($L$7:$L$78&lt;&gt;"",ROW($L$7:$L$78)-MIN(ROW($L$7:$L$78))+1,""),""),ROW()-ROW(A$80)+1))),","),"")</f>
        <v/>
      </c>
      <c r="N112" t="str">
        <f t="array" ref="N112">IFERROR(CONCATENATE((INDEX($A$7:$A$78,SMALL(IF($O$7:$O$78&lt;&gt;"",IF($L$7:$L$78&lt;&gt;"",ROW($L$7:$L$78)-MIN(ROW($L$7:$L$78))+1,""),""),ROW()-ROW(A$80)+1))),),"")</f>
        <v/>
      </c>
      <c r="R112" t="str">
        <f t="array" ref="R112">IFERROR(CONCATENATE((INDEX($U$7:$U$78,SMALL(IF($U$7:$U$78&lt;&gt;"",IF($R$7:$R$78&lt;&gt;"",ROW($R$7:$R$78)-MIN(ROW($R$7:$R$78))+1,""),""),ROW()-ROW(A$80)+1)))," "),"")</f>
        <v/>
      </c>
      <c r="S112" t="str">
        <f t="array" ref="S112">IFERROR(CONCATENATE(TEXT(INDEX($R$7:$R$78,SMALL(IF($U$7:$U$78&lt;&gt;"",IF($R$7:$R$78&lt;&gt;"",ROW($R$7:$R$78)-MIN(ROW($R$7:$R$78))+1,""),""),ROW()-ROW(A$80)+1)),"##0")," "),"")</f>
        <v/>
      </c>
      <c r="T112" t="str">
        <f t="array" ref="T112">IFERROR(CONCATENATE((INDEX($A$7:$A$78,SMALL(IF($U$7:$U$78&lt;&gt;"",IF($R$7:$R$78&lt;&gt;"",ROW($R$7:$R$78)-MIN(ROW($R$7:$R$78))+1,""),""),ROW()-ROW(A$80)+1))),),"")</f>
        <v/>
      </c>
    </row>
    <row r="113" spans="12:20">
      <c r="L113" t="str">
        <f t="array" ref="L113">IFERROR(CONCATENATE(TEXT(INDEX($L$7:$L$78,SMALL(IF($O$7:$O$78&lt;&gt;"",IF($L$7:$L$78&lt;&gt;"",ROW($L$7:$L$78)-MIN(ROW($L$7:$L$78))+1,""),""),ROW()-ROW(A$80)+1)),"##0"),","),"")</f>
        <v/>
      </c>
      <c r="M113" t="str">
        <f t="array" ref="M113">IFERROR(CONCATENATE((INDEX($O$7:$O$78,SMALL(IF($O$7:$O$78&lt;&gt;"",IF($L$7:$L$78&lt;&gt;"",ROW($L$7:$L$78)-MIN(ROW($L$7:$L$78))+1,""),""),ROW()-ROW(A$80)+1))),","),"")</f>
        <v/>
      </c>
      <c r="N113" t="str">
        <f t="array" ref="N113">IFERROR(CONCATENATE((INDEX($A$7:$A$78,SMALL(IF($O$7:$O$78&lt;&gt;"",IF($L$7:$L$78&lt;&gt;"",ROW($L$7:$L$78)-MIN(ROW($L$7:$L$78))+1,""),""),ROW()-ROW(A$80)+1))),),"")</f>
        <v/>
      </c>
      <c r="R113" t="str">
        <f t="array" ref="R113">IFERROR(CONCATENATE((INDEX($U$7:$U$78,SMALL(IF($U$7:$U$78&lt;&gt;"",IF($R$7:$R$78&lt;&gt;"",ROW($R$7:$R$78)-MIN(ROW($R$7:$R$78))+1,""),""),ROW()-ROW(A$80)+1)))," "),"")</f>
        <v/>
      </c>
      <c r="S113" t="str">
        <f t="array" ref="S113">IFERROR(CONCATENATE(TEXT(INDEX($R$7:$R$78,SMALL(IF($U$7:$U$78&lt;&gt;"",IF($R$7:$R$78&lt;&gt;"",ROW($R$7:$R$78)-MIN(ROW($R$7:$R$78))+1,""),""),ROW()-ROW(A$80)+1)),"##0")," "),"")</f>
        <v/>
      </c>
      <c r="T113" t="str">
        <f t="array" ref="T113">IFERROR(CONCATENATE((INDEX($A$7:$A$78,SMALL(IF($U$7:$U$78&lt;&gt;"",IF($R$7:$R$78&lt;&gt;"",ROW($R$7:$R$78)-MIN(ROW($R$7:$R$78))+1,""),""),ROW()-ROW(A$80)+1))),),"")</f>
        <v/>
      </c>
    </row>
    <row r="114" spans="12:20">
      <c r="L114" t="str">
        <f t="array" ref="L114">IFERROR(CONCATENATE(TEXT(INDEX($L$7:$L$78,SMALL(IF($O$7:$O$78&lt;&gt;"",IF($L$7:$L$78&lt;&gt;"",ROW($L$7:$L$78)-MIN(ROW($L$7:$L$78))+1,""),""),ROW()-ROW(A$80)+1)),"##0"),","),"")</f>
        <v/>
      </c>
      <c r="M114" t="str">
        <f t="array" ref="M114">IFERROR(CONCATENATE((INDEX($O$7:$O$78,SMALL(IF($O$7:$O$78&lt;&gt;"",IF($L$7:$L$78&lt;&gt;"",ROW($L$7:$L$78)-MIN(ROW($L$7:$L$78))+1,""),""),ROW()-ROW(A$80)+1))),","),"")</f>
        <v/>
      </c>
      <c r="N114" t="str">
        <f t="array" ref="N114">IFERROR(CONCATENATE((INDEX($A$7:$A$78,SMALL(IF($O$7:$O$78&lt;&gt;"",IF($L$7:$L$78&lt;&gt;"",ROW($L$7:$L$78)-MIN(ROW($L$7:$L$78))+1,""),""),ROW()-ROW(A$80)+1))),),"")</f>
        <v/>
      </c>
      <c r="R114" t="str">
        <f t="array" ref="R114">IFERROR(CONCATENATE((INDEX($U$7:$U$78,SMALL(IF($U$7:$U$78&lt;&gt;"",IF($R$7:$R$78&lt;&gt;"",ROW($R$7:$R$78)-MIN(ROW($R$7:$R$78))+1,""),""),ROW()-ROW(A$80)+1)))," "),"")</f>
        <v/>
      </c>
      <c r="S114" t="str">
        <f t="array" ref="S114">IFERROR(CONCATENATE(TEXT(INDEX($R$7:$R$78,SMALL(IF($U$7:$U$78&lt;&gt;"",IF($R$7:$R$78&lt;&gt;"",ROW($R$7:$R$78)-MIN(ROW($R$7:$R$78))+1,""),""),ROW()-ROW(A$80)+1)),"##0")," "),"")</f>
        <v/>
      </c>
      <c r="T114" t="str">
        <f t="array" ref="T114">IFERROR(CONCATENATE((INDEX($A$7:$A$78,SMALL(IF($U$7:$U$78&lt;&gt;"",IF($R$7:$R$78&lt;&gt;"",ROW($R$7:$R$78)-MIN(ROW($R$7:$R$78))+1,""),""),ROW()-ROW(A$80)+1))),),"")</f>
        <v/>
      </c>
    </row>
    <row r="115" spans="12:20">
      <c r="L115" t="str">
        <f t="array" ref="L115">IFERROR(CONCATENATE(TEXT(INDEX($L$7:$L$78,SMALL(IF($O$7:$O$78&lt;&gt;"",IF($L$7:$L$78&lt;&gt;"",ROW($L$7:$L$78)-MIN(ROW($L$7:$L$78))+1,""),""),ROW()-ROW(A$80)+1)),"##0"),","),"")</f>
        <v/>
      </c>
      <c r="M115" t="str">
        <f t="array" ref="M115">IFERROR(CONCATENATE((INDEX($O$7:$O$78,SMALL(IF($O$7:$O$78&lt;&gt;"",IF($L$7:$L$78&lt;&gt;"",ROW($L$7:$L$78)-MIN(ROW($L$7:$L$78))+1,""),""),ROW()-ROW(A$80)+1))),","),"")</f>
        <v/>
      </c>
      <c r="N115" t="str">
        <f t="array" ref="N115">IFERROR(CONCATENATE((INDEX($A$7:$A$78,SMALL(IF($O$7:$O$78&lt;&gt;"",IF($L$7:$L$78&lt;&gt;"",ROW($L$7:$L$78)-MIN(ROW($L$7:$L$78))+1,""),""),ROW()-ROW(A$80)+1))),),"")</f>
        <v/>
      </c>
      <c r="R115" t="str">
        <f t="array" ref="R115">IFERROR(CONCATENATE((INDEX($U$7:$U$78,SMALL(IF($U$7:$U$78&lt;&gt;"",IF($R$7:$R$78&lt;&gt;"",ROW($R$7:$R$78)-MIN(ROW($R$7:$R$78))+1,""),""),ROW()-ROW(A$80)+1)))," "),"")</f>
        <v/>
      </c>
      <c r="S115" t="str">
        <f t="array" ref="S115">IFERROR(CONCATENATE(TEXT(INDEX($R$7:$R$78,SMALL(IF($U$7:$U$78&lt;&gt;"",IF($R$7:$R$78&lt;&gt;"",ROW($R$7:$R$78)-MIN(ROW($R$7:$R$78))+1,""),""),ROW()-ROW(A$80)+1)),"##0")," "),"")</f>
        <v/>
      </c>
      <c r="T115" t="str">
        <f t="array" ref="T115">IFERROR(CONCATENATE((INDEX($A$7:$A$78,SMALL(IF($U$7:$U$78&lt;&gt;"",IF($R$7:$R$78&lt;&gt;"",ROW($R$7:$R$78)-MIN(ROW($R$7:$R$78))+1,""),""),ROW()-ROW(A$80)+1))),),"")</f>
        <v/>
      </c>
    </row>
    <row r="116" spans="12:20">
      <c r="L116" t="str">
        <f t="array" ref="L116">IFERROR(CONCATENATE(TEXT(INDEX($L$7:$L$78,SMALL(IF($O$7:$O$78&lt;&gt;"",IF($L$7:$L$78&lt;&gt;"",ROW($L$7:$L$78)-MIN(ROW($L$7:$L$78))+1,""),""),ROW()-ROW(A$80)+1)),"##0"),","),"")</f>
        <v/>
      </c>
      <c r="M116" t="str">
        <f t="array" ref="M116">IFERROR(CONCATENATE((INDEX($O$7:$O$78,SMALL(IF($O$7:$O$78&lt;&gt;"",IF($L$7:$L$78&lt;&gt;"",ROW($L$7:$L$78)-MIN(ROW($L$7:$L$78))+1,""),""),ROW()-ROW(A$80)+1))),","),"")</f>
        <v/>
      </c>
      <c r="N116" t="str">
        <f t="array" ref="N116">IFERROR(CONCATENATE((INDEX($A$7:$A$78,SMALL(IF($O$7:$O$78&lt;&gt;"",IF($L$7:$L$78&lt;&gt;"",ROW($L$7:$L$78)-MIN(ROW($L$7:$L$78))+1,""),""),ROW()-ROW(A$80)+1))),),"")</f>
        <v/>
      </c>
      <c r="R116" t="str">
        <f t="array" ref="R116">IFERROR(CONCATENATE((INDEX($U$7:$U$78,SMALL(IF($U$7:$U$78&lt;&gt;"",IF($R$7:$R$78&lt;&gt;"",ROW($R$7:$R$78)-MIN(ROW($R$7:$R$78))+1,""),""),ROW()-ROW(A$80)+1)))," "),"")</f>
        <v/>
      </c>
      <c r="S116" t="str">
        <f t="array" ref="S116">IFERROR(CONCATENATE(TEXT(INDEX($R$7:$R$78,SMALL(IF($U$7:$U$78&lt;&gt;"",IF($R$7:$R$78&lt;&gt;"",ROW($R$7:$R$78)-MIN(ROW($R$7:$R$78))+1,""),""),ROW()-ROW(A$80)+1)),"##0")," "),"")</f>
        <v/>
      </c>
      <c r="T116" t="str">
        <f t="array" ref="T116">IFERROR(CONCATENATE((INDEX($A$7:$A$78,SMALL(IF($U$7:$U$78&lt;&gt;"",IF($R$7:$R$78&lt;&gt;"",ROW($R$7:$R$78)-MIN(ROW($R$7:$R$78))+1,""),""),ROW()-ROW(A$80)+1))),),"")</f>
        <v/>
      </c>
    </row>
    <row r="117" spans="12:20">
      <c r="L117" t="str">
        <f t="array" ref="L117">IFERROR(CONCATENATE(TEXT(INDEX($L$7:$L$78,SMALL(IF($O$7:$O$78&lt;&gt;"",IF($L$7:$L$78&lt;&gt;"",ROW($L$7:$L$78)-MIN(ROW($L$7:$L$78))+1,""),""),ROW()-ROW(A$80)+1)),"##0"),","),"")</f>
        <v/>
      </c>
      <c r="M117" t="str">
        <f t="array" ref="M117">IFERROR(CONCATENATE((INDEX($O$7:$O$78,SMALL(IF($O$7:$O$78&lt;&gt;"",IF($L$7:$L$78&lt;&gt;"",ROW($L$7:$L$78)-MIN(ROW($L$7:$L$78))+1,""),""),ROW()-ROW(A$80)+1))),","),"")</f>
        <v/>
      </c>
      <c r="N117" t="str">
        <f t="array" ref="N117">IFERROR(CONCATENATE((INDEX($A$7:$A$78,SMALL(IF($O$7:$O$78&lt;&gt;"",IF($L$7:$L$78&lt;&gt;"",ROW($L$7:$L$78)-MIN(ROW($L$7:$L$78))+1,""),""),ROW()-ROW(A$80)+1))),),"")</f>
        <v/>
      </c>
      <c r="R117" t="str">
        <f t="array" ref="R117">IFERROR(CONCATENATE((INDEX($U$7:$U$78,SMALL(IF($U$7:$U$78&lt;&gt;"",IF($R$7:$R$78&lt;&gt;"",ROW($R$7:$R$78)-MIN(ROW($R$7:$R$78))+1,""),""),ROW()-ROW(A$80)+1)))," "),"")</f>
        <v/>
      </c>
      <c r="S117" t="str">
        <f t="array" ref="S117">IFERROR(CONCATENATE(TEXT(INDEX($R$7:$R$78,SMALL(IF($U$7:$U$78&lt;&gt;"",IF($R$7:$R$78&lt;&gt;"",ROW($R$7:$R$78)-MIN(ROW($R$7:$R$78))+1,""),""),ROW()-ROW(A$80)+1)),"##0")," "),"")</f>
        <v/>
      </c>
      <c r="T117" t="str">
        <f t="array" ref="T117">IFERROR(CONCATENATE((INDEX($A$7:$A$78,SMALL(IF($U$7:$U$78&lt;&gt;"",IF($R$7:$R$78&lt;&gt;"",ROW($R$7:$R$78)-MIN(ROW($R$7:$R$78))+1,""),""),ROW()-ROW(A$80)+1))),),"")</f>
        <v/>
      </c>
    </row>
    <row r="118" spans="12:20">
      <c r="L118" t="str">
        <f t="array" ref="L118">IFERROR(CONCATENATE(TEXT(INDEX($L$7:$L$78,SMALL(IF($O$7:$O$78&lt;&gt;"",IF($L$7:$L$78&lt;&gt;"",ROW($L$7:$L$78)-MIN(ROW($L$7:$L$78))+1,""),""),ROW()-ROW(A$80)+1)),"##0"),","),"")</f>
        <v/>
      </c>
      <c r="M118" t="str">
        <f t="array" ref="M118">IFERROR(CONCATENATE((INDEX($O$7:$O$78,SMALL(IF($O$7:$O$78&lt;&gt;"",IF($L$7:$L$78&lt;&gt;"",ROW($L$7:$L$78)-MIN(ROW($L$7:$L$78))+1,""),""),ROW()-ROW(A$80)+1))),","),"")</f>
        <v/>
      </c>
      <c r="N118" t="str">
        <f t="array" ref="N118">IFERROR(CONCATENATE((INDEX($A$7:$A$78,SMALL(IF($O$7:$O$78&lt;&gt;"",IF($L$7:$L$78&lt;&gt;"",ROW($L$7:$L$78)-MIN(ROW($L$7:$L$78))+1,""),""),ROW()-ROW(A$80)+1))),),"")</f>
        <v/>
      </c>
      <c r="R118" t="str">
        <f t="array" ref="R118">IFERROR(CONCATENATE((INDEX($U$7:$U$78,SMALL(IF($U$7:$U$78&lt;&gt;"",IF($R$7:$R$78&lt;&gt;"",ROW($R$7:$R$78)-MIN(ROW($R$7:$R$78))+1,""),""),ROW()-ROW(A$80)+1)))," "),"")</f>
        <v/>
      </c>
      <c r="S118" t="str">
        <f t="array" ref="S118">IFERROR(CONCATENATE(TEXT(INDEX($R$7:$R$78,SMALL(IF($U$7:$U$78&lt;&gt;"",IF($R$7:$R$78&lt;&gt;"",ROW($R$7:$R$78)-MIN(ROW($R$7:$R$78))+1,""),""),ROW()-ROW(A$80)+1)),"##0")," "),"")</f>
        <v/>
      </c>
      <c r="T118" t="str">
        <f t="array" ref="T118">IFERROR(CONCATENATE((INDEX($A$7:$A$78,SMALL(IF($U$7:$U$78&lt;&gt;"",IF($R$7:$R$78&lt;&gt;"",ROW($R$7:$R$78)-MIN(ROW($R$7:$R$78))+1,""),""),ROW()-ROW(A$80)+1))),),"")</f>
        <v/>
      </c>
    </row>
    <row r="119" spans="12:20">
      <c r="L119" t="str">
        <f t="array" ref="L119">IFERROR(CONCATENATE(TEXT(INDEX($L$7:$L$78,SMALL(IF($O$7:$O$78&lt;&gt;"",IF($L$7:$L$78&lt;&gt;"",ROW($L$7:$L$78)-MIN(ROW($L$7:$L$78))+1,""),""),ROW()-ROW(A$80)+1)),"##0"),","),"")</f>
        <v/>
      </c>
      <c r="M119" t="str">
        <f t="array" ref="M119">IFERROR(CONCATENATE((INDEX($O$7:$O$78,SMALL(IF($O$7:$O$78&lt;&gt;"",IF($L$7:$L$78&lt;&gt;"",ROW($L$7:$L$78)-MIN(ROW($L$7:$L$78))+1,""),""),ROW()-ROW(A$80)+1))),","),"")</f>
        <v/>
      </c>
      <c r="N119" t="str">
        <f t="array" ref="N119">IFERROR(CONCATENATE((INDEX($A$7:$A$78,SMALL(IF($O$7:$O$78&lt;&gt;"",IF($L$7:$L$78&lt;&gt;"",ROW($L$7:$L$78)-MIN(ROW($L$7:$L$78))+1,""),""),ROW()-ROW(A$80)+1))),),"")</f>
        <v/>
      </c>
      <c r="R119" t="str">
        <f t="array" ref="R119">IFERROR(CONCATENATE((INDEX($U$7:$U$78,SMALL(IF($U$7:$U$78&lt;&gt;"",IF($R$7:$R$78&lt;&gt;"",ROW($R$7:$R$78)-MIN(ROW($R$7:$R$78))+1,""),""),ROW()-ROW(A$80)+1)))," "),"")</f>
        <v/>
      </c>
      <c r="S119" t="str">
        <f t="array" ref="S119">IFERROR(CONCATENATE(TEXT(INDEX($R$7:$R$78,SMALL(IF($U$7:$U$78&lt;&gt;"",IF($R$7:$R$78&lt;&gt;"",ROW($R$7:$R$78)-MIN(ROW($R$7:$R$78))+1,""),""),ROW()-ROW(A$80)+1)),"##0")," "),"")</f>
        <v/>
      </c>
      <c r="T119" t="str">
        <f t="array" ref="T119">IFERROR(CONCATENATE((INDEX($A$7:$A$78,SMALL(IF($U$7:$U$78&lt;&gt;"",IF($R$7:$R$78&lt;&gt;"",ROW($R$7:$R$78)-MIN(ROW($R$7:$R$78))+1,""),""),ROW()-ROW(A$80)+1))),),"")</f>
        <v/>
      </c>
    </row>
    <row r="120" spans="12:20">
      <c r="L120" t="str">
        <f t="array" ref="L120">IFERROR(CONCATENATE(TEXT(INDEX($L$7:$L$78,SMALL(IF($O$7:$O$78&lt;&gt;"",IF($L$7:$L$78&lt;&gt;"",ROW($L$7:$L$78)-MIN(ROW($L$7:$L$78))+1,""),""),ROW()-ROW(A$80)+1)),"##0"),","),"")</f>
        <v/>
      </c>
      <c r="M120" t="str">
        <f t="array" ref="M120">IFERROR(CONCATENATE((INDEX($O$7:$O$78,SMALL(IF($O$7:$O$78&lt;&gt;"",IF($L$7:$L$78&lt;&gt;"",ROW($L$7:$L$78)-MIN(ROW($L$7:$L$78))+1,""),""),ROW()-ROW(A$80)+1))),","),"")</f>
        <v/>
      </c>
      <c r="N120" t="str">
        <f t="array" ref="N120">IFERROR(CONCATENATE((INDEX($A$7:$A$78,SMALL(IF($O$7:$O$78&lt;&gt;"",IF($L$7:$L$78&lt;&gt;"",ROW($L$7:$L$78)-MIN(ROW($L$7:$L$78))+1,""),""),ROW()-ROW(A$80)+1))),),"")</f>
        <v/>
      </c>
      <c r="R120" t="str">
        <f t="array" ref="R120">IFERROR(CONCATENATE((INDEX($U$7:$U$78,SMALL(IF($U$7:$U$78&lt;&gt;"",IF($R$7:$R$78&lt;&gt;"",ROW($R$7:$R$78)-MIN(ROW($R$7:$R$78))+1,""),""),ROW()-ROW(A$80)+1)))," "),"")</f>
        <v/>
      </c>
      <c r="S120" t="str">
        <f t="array" ref="S120">IFERROR(CONCATENATE(TEXT(INDEX($R$7:$R$78,SMALL(IF($U$7:$U$78&lt;&gt;"",IF($R$7:$R$78&lt;&gt;"",ROW($R$7:$R$78)-MIN(ROW($R$7:$R$78))+1,""),""),ROW()-ROW(A$80)+1)),"##0")," "),"")</f>
        <v/>
      </c>
      <c r="T120" t="str">
        <f t="array" ref="T120">IFERROR(CONCATENATE((INDEX($A$7:$A$78,SMALL(IF($U$7:$U$78&lt;&gt;"",IF($R$7:$R$78&lt;&gt;"",ROW($R$7:$R$78)-MIN(ROW($R$7:$R$78))+1,""),""),ROW()-ROW(A$80)+1))),),"")</f>
        <v/>
      </c>
    </row>
    <row r="121" spans="12:20">
      <c r="L121" t="str">
        <f t="array" ref="L121">IFERROR(CONCATENATE(TEXT(INDEX($L$7:$L$78,SMALL(IF($O$7:$O$78&lt;&gt;"",IF($L$7:$L$78&lt;&gt;"",ROW($L$7:$L$78)-MIN(ROW($L$7:$L$78))+1,""),""),ROW()-ROW(A$80)+1)),"##0"),","),"")</f>
        <v/>
      </c>
      <c r="M121" t="str">
        <f t="array" ref="M121">IFERROR(CONCATENATE((INDEX($O$7:$O$78,SMALL(IF($O$7:$O$78&lt;&gt;"",IF($L$7:$L$78&lt;&gt;"",ROW($L$7:$L$78)-MIN(ROW($L$7:$L$78))+1,""),""),ROW()-ROW(A$80)+1))),","),"")</f>
        <v/>
      </c>
      <c r="N121" t="str">
        <f t="array" ref="N121">IFERROR(CONCATENATE((INDEX($A$7:$A$78,SMALL(IF($O$7:$O$78&lt;&gt;"",IF($L$7:$L$78&lt;&gt;"",ROW($L$7:$L$78)-MIN(ROW($L$7:$L$78))+1,""),""),ROW()-ROW(A$80)+1))),),"")</f>
        <v/>
      </c>
      <c r="R121" t="str">
        <f t="array" ref="R121">IFERROR(CONCATENATE((INDEX($U$7:$U$78,SMALL(IF($U$7:$U$78&lt;&gt;"",IF($R$7:$R$78&lt;&gt;"",ROW($R$7:$R$78)-MIN(ROW($R$7:$R$78))+1,""),""),ROW()-ROW(A$80)+1)))," "),"")</f>
        <v/>
      </c>
      <c r="S121" t="str">
        <f t="array" ref="S121">IFERROR(CONCATENATE(TEXT(INDEX($R$7:$R$78,SMALL(IF($U$7:$U$78&lt;&gt;"",IF($R$7:$R$78&lt;&gt;"",ROW($R$7:$R$78)-MIN(ROW($R$7:$R$78))+1,""),""),ROW()-ROW(A$80)+1)),"##0")," "),"")</f>
        <v/>
      </c>
      <c r="T121" t="str">
        <f t="array" ref="T121">IFERROR(CONCATENATE((INDEX($A$7:$A$78,SMALL(IF($U$7:$U$78&lt;&gt;"",IF($R$7:$R$78&lt;&gt;"",ROW($R$7:$R$78)-MIN(ROW($R$7:$R$78))+1,""),""),ROW()-ROW(A$80)+1))),),"")</f>
        <v/>
      </c>
    </row>
    <row r="122" spans="12:20">
      <c r="L122" t="str">
        <f t="array" ref="L122">IFERROR(CONCATENATE(TEXT(INDEX($L$7:$L$78,SMALL(IF($O$7:$O$78&lt;&gt;"",IF($L$7:$L$78&lt;&gt;"",ROW($L$7:$L$78)-MIN(ROW($L$7:$L$78))+1,""),""),ROW()-ROW(A$80)+1)),"##0"),","),"")</f>
        <v/>
      </c>
      <c r="M122" t="str">
        <f t="array" ref="M122">IFERROR(CONCATENATE((INDEX($O$7:$O$78,SMALL(IF($O$7:$O$78&lt;&gt;"",IF($L$7:$L$78&lt;&gt;"",ROW($L$7:$L$78)-MIN(ROW($L$7:$L$78))+1,""),""),ROW()-ROW(A$80)+1))),","),"")</f>
        <v/>
      </c>
      <c r="N122" t="str">
        <f t="array" ref="N122">IFERROR(CONCATENATE((INDEX($A$7:$A$78,SMALL(IF($O$7:$O$78&lt;&gt;"",IF($L$7:$L$78&lt;&gt;"",ROW($L$7:$L$78)-MIN(ROW($L$7:$L$78))+1,""),""),ROW()-ROW(A$80)+1))),),"")</f>
        <v/>
      </c>
      <c r="R122" t="str">
        <f t="array" ref="R122">IFERROR(CONCATENATE((INDEX($U$7:$U$78,SMALL(IF($U$7:$U$78&lt;&gt;"",IF($R$7:$R$78&lt;&gt;"",ROW($R$7:$R$78)-MIN(ROW($R$7:$R$78))+1,""),""),ROW()-ROW(A$80)+1)))," "),"")</f>
        <v/>
      </c>
      <c r="S122" t="str">
        <f t="array" ref="S122">IFERROR(CONCATENATE(TEXT(INDEX($R$7:$R$78,SMALL(IF($U$7:$U$78&lt;&gt;"",IF($R$7:$R$78&lt;&gt;"",ROW($R$7:$R$78)-MIN(ROW($R$7:$R$78))+1,""),""),ROW()-ROW(A$80)+1)),"##0")," "),"")</f>
        <v/>
      </c>
      <c r="T122" t="str">
        <f t="array" ref="T122">IFERROR(CONCATENATE((INDEX($A$7:$A$78,SMALL(IF($U$7:$U$78&lt;&gt;"",IF($R$7:$R$78&lt;&gt;"",ROW($R$7:$R$78)-MIN(ROW($R$7:$R$78))+1,""),""),ROW()-ROW(A$80)+1))),),"")</f>
        <v/>
      </c>
    </row>
    <row r="123" spans="12:20">
      <c r="L123" t="str">
        <f t="array" ref="L123">IFERROR(CONCATENATE(TEXT(INDEX($L$7:$L$78,SMALL(IF($O$7:$O$78&lt;&gt;"",IF($L$7:$L$78&lt;&gt;"",ROW($L$7:$L$78)-MIN(ROW($L$7:$L$78))+1,""),""),ROW()-ROW(A$80)+1)),"##0"),","),"")</f>
        <v/>
      </c>
      <c r="M123" t="str">
        <f t="array" ref="M123">IFERROR(CONCATENATE((INDEX($O$7:$O$78,SMALL(IF($O$7:$O$78&lt;&gt;"",IF($L$7:$L$78&lt;&gt;"",ROW($L$7:$L$78)-MIN(ROW($L$7:$L$78))+1,""),""),ROW()-ROW(A$80)+1))),","),"")</f>
        <v/>
      </c>
      <c r="N123" t="str">
        <f t="array" ref="N123">IFERROR(CONCATENATE((INDEX($A$7:$A$78,SMALL(IF($O$7:$O$78&lt;&gt;"",IF($L$7:$L$78&lt;&gt;"",ROW($L$7:$L$78)-MIN(ROW($L$7:$L$78))+1,""),""),ROW()-ROW(A$80)+1))),),"")</f>
        <v/>
      </c>
      <c r="R123" t="str">
        <f t="array" ref="R123">IFERROR(CONCATENATE((INDEX($U$7:$U$78,SMALL(IF($U$7:$U$78&lt;&gt;"",IF($R$7:$R$78&lt;&gt;"",ROW($R$7:$R$78)-MIN(ROW($R$7:$R$78))+1,""),""),ROW()-ROW(A$80)+1)))," "),"")</f>
        <v/>
      </c>
      <c r="S123" t="str">
        <f t="array" ref="S123">IFERROR(CONCATENATE(TEXT(INDEX($R$7:$R$78,SMALL(IF($U$7:$U$78&lt;&gt;"",IF($R$7:$R$78&lt;&gt;"",ROW($R$7:$R$78)-MIN(ROW($R$7:$R$78))+1,""),""),ROW()-ROW(A$80)+1)),"##0")," "),"")</f>
        <v/>
      </c>
      <c r="T123" t="str">
        <f t="array" ref="T123">IFERROR(CONCATENATE((INDEX($A$7:$A$78,SMALL(IF($U$7:$U$78&lt;&gt;"",IF($R$7:$R$78&lt;&gt;"",ROW($R$7:$R$78)-MIN(ROW($R$7:$R$78))+1,""),""),ROW()-ROW(A$80)+1))),),"")</f>
        <v/>
      </c>
    </row>
    <row r="124" spans="12:20">
      <c r="L124" t="str">
        <f t="array" ref="L124">IFERROR(CONCATENATE(TEXT(INDEX($L$7:$L$78,SMALL(IF($O$7:$O$78&lt;&gt;"",IF($L$7:$L$78&lt;&gt;"",ROW($L$7:$L$78)-MIN(ROW($L$7:$L$78))+1,""),""),ROW()-ROW(A$80)+1)),"##0"),","),"")</f>
        <v/>
      </c>
      <c r="M124" t="str">
        <f t="array" ref="M124">IFERROR(CONCATENATE((INDEX($O$7:$O$78,SMALL(IF($O$7:$O$78&lt;&gt;"",IF($L$7:$L$78&lt;&gt;"",ROW($L$7:$L$78)-MIN(ROW($L$7:$L$78))+1,""),""),ROW()-ROW(A$80)+1))),","),"")</f>
        <v/>
      </c>
      <c r="N124" t="str">
        <f t="array" ref="N124">IFERROR(CONCATENATE((INDEX($A$7:$A$78,SMALL(IF($O$7:$O$78&lt;&gt;"",IF($L$7:$L$78&lt;&gt;"",ROW($L$7:$L$78)-MIN(ROW($L$7:$L$78))+1,""),""),ROW()-ROW(A$80)+1))),),"")</f>
        <v/>
      </c>
      <c r="R124" t="str">
        <f t="array" ref="R124">IFERROR(CONCATENATE((INDEX($U$7:$U$78,SMALL(IF($U$7:$U$78&lt;&gt;"",IF($R$7:$R$78&lt;&gt;"",ROW($R$7:$R$78)-MIN(ROW($R$7:$R$78))+1,""),""),ROW()-ROW(A$80)+1)))," "),"")</f>
        <v/>
      </c>
      <c r="S124" t="str">
        <f t="array" ref="S124">IFERROR(CONCATENATE(TEXT(INDEX($R$7:$R$78,SMALL(IF($U$7:$U$78&lt;&gt;"",IF($R$7:$R$78&lt;&gt;"",ROW($R$7:$R$78)-MIN(ROW($R$7:$R$78))+1,""),""),ROW()-ROW(A$80)+1)),"##0")," "),"")</f>
        <v/>
      </c>
      <c r="T124" t="str">
        <f t="array" ref="T124">IFERROR(CONCATENATE((INDEX($A$7:$A$78,SMALL(IF($U$7:$U$78&lt;&gt;"",IF($R$7:$R$78&lt;&gt;"",ROW($R$7:$R$78)-MIN(ROW($R$7:$R$78))+1,""),""),ROW()-ROW(A$80)+1))),),"")</f>
        <v/>
      </c>
    </row>
    <row r="125" spans="12:20">
      <c r="L125" t="str">
        <f t="array" ref="L125">IFERROR(CONCATENATE(TEXT(INDEX($L$7:$L$78,SMALL(IF($O$7:$O$78&lt;&gt;"",IF($L$7:$L$78&lt;&gt;"",ROW($L$7:$L$78)-MIN(ROW($L$7:$L$78))+1,""),""),ROW()-ROW(A$80)+1)),"##0"),","),"")</f>
        <v/>
      </c>
      <c r="M125" t="str">
        <f t="array" ref="M125">IFERROR(CONCATENATE((INDEX($O$7:$O$78,SMALL(IF($O$7:$O$78&lt;&gt;"",IF($L$7:$L$78&lt;&gt;"",ROW($L$7:$L$78)-MIN(ROW($L$7:$L$78))+1,""),""),ROW()-ROW(A$80)+1))),","),"")</f>
        <v/>
      </c>
      <c r="N125" t="str">
        <f t="array" ref="N125">IFERROR(CONCATENATE((INDEX($A$7:$A$78,SMALL(IF($O$7:$O$78&lt;&gt;"",IF($L$7:$L$78&lt;&gt;"",ROW($L$7:$L$78)-MIN(ROW($L$7:$L$78))+1,""),""),ROW()-ROW(A$80)+1))),),"")</f>
        <v/>
      </c>
      <c r="R125" t="str">
        <f t="array" ref="R125">IFERROR(CONCATENATE((INDEX($U$7:$U$78,SMALL(IF($U$7:$U$78&lt;&gt;"",IF($R$7:$R$78&lt;&gt;"",ROW($R$7:$R$78)-MIN(ROW($R$7:$R$78))+1,""),""),ROW()-ROW(A$80)+1)))," "),"")</f>
        <v/>
      </c>
      <c r="S125" t="str">
        <f t="array" ref="S125">IFERROR(CONCATENATE(TEXT(INDEX($R$7:$R$78,SMALL(IF($U$7:$U$78&lt;&gt;"",IF($R$7:$R$78&lt;&gt;"",ROW($R$7:$R$78)-MIN(ROW($R$7:$R$78))+1,""),""),ROW()-ROW(A$80)+1)),"##0")," "),"")</f>
        <v/>
      </c>
      <c r="T125" t="str">
        <f t="array" ref="T125">IFERROR(CONCATENATE((INDEX($A$7:$A$78,SMALL(IF($U$7:$U$78&lt;&gt;"",IF($R$7:$R$78&lt;&gt;"",ROW($R$7:$R$78)-MIN(ROW($R$7:$R$78))+1,""),""),ROW()-ROW(A$80)+1))),),"")</f>
        <v/>
      </c>
    </row>
    <row r="126" spans="12:20">
      <c r="L126" t="str">
        <f t="array" ref="L126">IFERROR(CONCATENATE(TEXT(INDEX($L$7:$L$78,SMALL(IF($O$7:$O$78&lt;&gt;"",IF($L$7:$L$78&lt;&gt;"",ROW($L$7:$L$78)-MIN(ROW($L$7:$L$78))+1,""),""),ROW()-ROW(A$80)+1)),"##0"),","),"")</f>
        <v/>
      </c>
      <c r="M126" t="str">
        <f t="array" ref="M126">IFERROR(CONCATENATE((INDEX($O$7:$O$78,SMALL(IF($O$7:$O$78&lt;&gt;"",IF($L$7:$L$78&lt;&gt;"",ROW($L$7:$L$78)-MIN(ROW($L$7:$L$78))+1,""),""),ROW()-ROW(A$80)+1))),","),"")</f>
        <v/>
      </c>
      <c r="N126" t="str">
        <f t="array" ref="N126">IFERROR(CONCATENATE((INDEX($A$7:$A$78,SMALL(IF($O$7:$O$78&lt;&gt;"",IF($L$7:$L$78&lt;&gt;"",ROW($L$7:$L$78)-MIN(ROW($L$7:$L$78))+1,""),""),ROW()-ROW(A$80)+1))),),"")</f>
        <v/>
      </c>
      <c r="R126" t="str">
        <f t="array" ref="R126">IFERROR(CONCATENATE((INDEX($U$7:$U$78,SMALL(IF($U$7:$U$78&lt;&gt;"",IF($R$7:$R$78&lt;&gt;"",ROW($R$7:$R$78)-MIN(ROW($R$7:$R$78))+1,""),""),ROW()-ROW(A$80)+1)))," "),"")</f>
        <v/>
      </c>
      <c r="S126" t="str">
        <f t="array" ref="S126">IFERROR(CONCATENATE(TEXT(INDEX($R$7:$R$78,SMALL(IF($U$7:$U$78&lt;&gt;"",IF($R$7:$R$78&lt;&gt;"",ROW($R$7:$R$78)-MIN(ROW($R$7:$R$78))+1,""),""),ROW()-ROW(A$80)+1)),"##0")," "),"")</f>
        <v/>
      </c>
      <c r="T126" t="str">
        <f t="array" ref="T126">IFERROR(CONCATENATE((INDEX($A$7:$A$78,SMALL(IF($U$7:$U$78&lt;&gt;"",IF($R$7:$R$78&lt;&gt;"",ROW($R$7:$R$78)-MIN(ROW($R$7:$R$78))+1,""),""),ROW()-ROW(A$80)+1))),),"")</f>
        <v/>
      </c>
    </row>
    <row r="127" spans="12:20">
      <c r="L127" t="str">
        <f t="array" ref="L127">IFERROR(CONCATENATE(TEXT(INDEX($L$7:$L$78,SMALL(IF($O$7:$O$78&lt;&gt;"",IF($L$7:$L$78&lt;&gt;"",ROW($L$7:$L$78)-MIN(ROW($L$7:$L$78))+1,""),""),ROW()-ROW(A$80)+1)),"##0"),","),"")</f>
        <v/>
      </c>
      <c r="M127" t="str">
        <f t="array" ref="M127">IFERROR(CONCATENATE((INDEX($O$7:$O$78,SMALL(IF($O$7:$O$78&lt;&gt;"",IF($L$7:$L$78&lt;&gt;"",ROW($L$7:$L$78)-MIN(ROW($L$7:$L$78))+1,""),""),ROW()-ROW(A$80)+1))),","),"")</f>
        <v/>
      </c>
      <c r="N127" t="str">
        <f t="array" ref="N127">IFERROR(CONCATENATE((INDEX($A$7:$A$78,SMALL(IF($O$7:$O$78&lt;&gt;"",IF($L$7:$L$78&lt;&gt;"",ROW($L$7:$L$78)-MIN(ROW($L$7:$L$78))+1,""),""),ROW()-ROW(A$80)+1))),),"")</f>
        <v/>
      </c>
      <c r="R127" t="str">
        <f t="array" ref="R127">IFERROR(CONCATENATE((INDEX($U$7:$U$78,SMALL(IF($U$7:$U$78&lt;&gt;"",IF($R$7:$R$78&lt;&gt;"",ROW($R$7:$R$78)-MIN(ROW($R$7:$R$78))+1,""),""),ROW()-ROW(A$80)+1)))," "),"")</f>
        <v/>
      </c>
      <c r="S127" t="str">
        <f t="array" ref="S127">IFERROR(CONCATENATE(TEXT(INDEX($R$7:$R$78,SMALL(IF($U$7:$U$78&lt;&gt;"",IF($R$7:$R$78&lt;&gt;"",ROW($R$7:$R$78)-MIN(ROW($R$7:$R$78))+1,""),""),ROW()-ROW(A$80)+1)),"##0")," "),"")</f>
        <v/>
      </c>
      <c r="T127" t="str">
        <f t="array" ref="T127">IFERROR(CONCATENATE((INDEX($A$7:$A$78,SMALL(IF($U$7:$U$78&lt;&gt;"",IF($R$7:$R$78&lt;&gt;"",ROW($R$7:$R$78)-MIN(ROW($R$7:$R$78))+1,""),""),ROW()-ROW(A$80)+1))),),"")</f>
        <v/>
      </c>
    </row>
    <row r="128" spans="12:20">
      <c r="L128" t="str">
        <f t="array" ref="L128">IFERROR(CONCATENATE(TEXT(INDEX($L$7:$L$78,SMALL(IF($O$7:$O$78&lt;&gt;"",IF($L$7:$L$78&lt;&gt;"",ROW($L$7:$L$78)-MIN(ROW($L$7:$L$78))+1,""),""),ROW()-ROW(A$80)+1)),"##0"),","),"")</f>
        <v/>
      </c>
      <c r="M128" t="str">
        <f t="array" ref="M128">IFERROR(CONCATENATE((INDEX($O$7:$O$78,SMALL(IF($O$7:$O$78&lt;&gt;"",IF($L$7:$L$78&lt;&gt;"",ROW($L$7:$L$78)-MIN(ROW($L$7:$L$78))+1,""),""),ROW()-ROW(A$80)+1))),","),"")</f>
        <v/>
      </c>
      <c r="N128" t="str">
        <f t="array" ref="N128">IFERROR(CONCATENATE((INDEX($A$7:$A$78,SMALL(IF($O$7:$O$78&lt;&gt;"",IF($L$7:$L$78&lt;&gt;"",ROW($L$7:$L$78)-MIN(ROW($L$7:$L$78))+1,""),""),ROW()-ROW(A$80)+1))),),"")</f>
        <v/>
      </c>
      <c r="R128" t="str">
        <f t="array" ref="R128">IFERROR(CONCATENATE((INDEX($U$7:$U$78,SMALL(IF($U$7:$U$78&lt;&gt;"",IF($R$7:$R$78&lt;&gt;"",ROW($R$7:$R$78)-MIN(ROW($R$7:$R$78))+1,""),""),ROW()-ROW(A$80)+1)))," "),"")</f>
        <v/>
      </c>
      <c r="S128" t="str">
        <f t="array" ref="S128">IFERROR(CONCATENATE(TEXT(INDEX($R$7:$R$78,SMALL(IF($U$7:$U$78&lt;&gt;"",IF($R$7:$R$78&lt;&gt;"",ROW($R$7:$R$78)-MIN(ROW($R$7:$R$78))+1,""),""),ROW()-ROW(A$80)+1)),"##0")," "),"")</f>
        <v/>
      </c>
      <c r="T128" t="str">
        <f t="array" ref="T128">IFERROR(CONCATENATE((INDEX($A$7:$A$78,SMALL(IF($U$7:$U$78&lt;&gt;"",IF($R$7:$R$78&lt;&gt;"",ROW($R$7:$R$78)-MIN(ROW($R$7:$R$78))+1,""),""),ROW()-ROW(A$80)+1))),),"")</f>
        <v/>
      </c>
    </row>
    <row r="129" spans="12:20">
      <c r="L129" t="str">
        <f t="array" ref="L129">IFERROR(CONCATENATE(TEXT(INDEX($L$7:$L$78,SMALL(IF($O$7:$O$78&lt;&gt;"",IF($L$7:$L$78&lt;&gt;"",ROW($L$7:$L$78)-MIN(ROW($L$7:$L$78))+1,""),""),ROW()-ROW(A$80)+1)),"##0"),","),"")</f>
        <v/>
      </c>
      <c r="M129" t="str">
        <f t="array" ref="M129">IFERROR(CONCATENATE((INDEX($O$7:$O$78,SMALL(IF($O$7:$O$78&lt;&gt;"",IF($L$7:$L$78&lt;&gt;"",ROW($L$7:$L$78)-MIN(ROW($L$7:$L$78))+1,""),""),ROW()-ROW(A$80)+1))),","),"")</f>
        <v/>
      </c>
      <c r="N129" t="str">
        <f t="array" ref="N129">IFERROR(CONCATENATE((INDEX($A$7:$A$78,SMALL(IF($O$7:$O$78&lt;&gt;"",IF($L$7:$L$78&lt;&gt;"",ROW($L$7:$L$78)-MIN(ROW($L$7:$L$78))+1,""),""),ROW()-ROW(A$80)+1))),),"")</f>
        <v/>
      </c>
      <c r="R129" t="str">
        <f t="array" ref="R129">IFERROR(CONCATENATE((INDEX($U$7:$U$78,SMALL(IF($U$7:$U$78&lt;&gt;"",IF($R$7:$R$78&lt;&gt;"",ROW($R$7:$R$78)-MIN(ROW($R$7:$R$78))+1,""),""),ROW()-ROW(A$80)+1)))," "),"")</f>
        <v/>
      </c>
      <c r="S129" t="str">
        <f t="array" ref="S129">IFERROR(CONCATENATE(TEXT(INDEX($R$7:$R$78,SMALL(IF($U$7:$U$78&lt;&gt;"",IF($R$7:$R$78&lt;&gt;"",ROW($R$7:$R$78)-MIN(ROW($R$7:$R$78))+1,""),""),ROW()-ROW(A$80)+1)),"##0")," "),"")</f>
        <v/>
      </c>
      <c r="T129" t="str">
        <f t="array" ref="T129">IFERROR(CONCATENATE((INDEX($A$7:$A$78,SMALL(IF($U$7:$U$78&lt;&gt;"",IF($R$7:$R$78&lt;&gt;"",ROW($R$7:$R$78)-MIN(ROW($R$7:$R$78))+1,""),""),ROW()-ROW(A$80)+1))),),"")</f>
        <v/>
      </c>
    </row>
    <row r="130" spans="12:20">
      <c r="L130" t="str">
        <f t="array" ref="L130">IFERROR(CONCATENATE(TEXT(INDEX($L$7:$L$78,SMALL(IF($O$7:$O$78&lt;&gt;"",IF($L$7:$L$78&lt;&gt;"",ROW($L$7:$L$78)-MIN(ROW($L$7:$L$78))+1,""),""),ROW()-ROW(A$80)+1)),"##0"),","),"")</f>
        <v/>
      </c>
      <c r="M130" t="str">
        <f t="array" ref="M130">IFERROR(CONCATENATE((INDEX($O$7:$O$78,SMALL(IF($O$7:$O$78&lt;&gt;"",IF($L$7:$L$78&lt;&gt;"",ROW($L$7:$L$78)-MIN(ROW($L$7:$L$78))+1,""),""),ROW()-ROW(A$80)+1))),","),"")</f>
        <v/>
      </c>
      <c r="N130" t="str">
        <f t="array" ref="N130">IFERROR(CONCATENATE((INDEX($A$7:$A$78,SMALL(IF($O$7:$O$78&lt;&gt;"",IF($L$7:$L$78&lt;&gt;"",ROW($L$7:$L$78)-MIN(ROW($L$7:$L$78))+1,""),""),ROW()-ROW(A$80)+1))),),"")</f>
        <v/>
      </c>
      <c r="R130" t="str">
        <f t="array" ref="R130">IFERROR(CONCATENATE((INDEX($U$7:$U$78,SMALL(IF($U$7:$U$78&lt;&gt;"",IF($R$7:$R$78&lt;&gt;"",ROW($R$7:$R$78)-MIN(ROW($R$7:$R$78))+1,""),""),ROW()-ROW(A$80)+1)))," "),"")</f>
        <v/>
      </c>
      <c r="S130" t="str">
        <f t="array" ref="S130">IFERROR(CONCATENATE(TEXT(INDEX($R$7:$R$78,SMALL(IF($U$7:$U$78&lt;&gt;"",IF($R$7:$R$78&lt;&gt;"",ROW($R$7:$R$78)-MIN(ROW($R$7:$R$78))+1,""),""),ROW()-ROW(A$80)+1)),"##0")," "),"")</f>
        <v/>
      </c>
      <c r="T130" t="str">
        <f t="array" ref="T130">IFERROR(CONCATENATE((INDEX($A$7:$A$78,SMALL(IF($U$7:$U$78&lt;&gt;"",IF($R$7:$R$78&lt;&gt;"",ROW($R$7:$R$78)-MIN(ROW($R$7:$R$78))+1,""),""),ROW()-ROW(A$80)+1))),),"")</f>
        <v/>
      </c>
    </row>
    <row r="131" spans="12:20">
      <c r="L131" t="str">
        <f t="array" ref="L131">IFERROR(CONCATENATE(TEXT(INDEX($L$7:$L$78,SMALL(IF($O$7:$O$78&lt;&gt;"",IF($L$7:$L$78&lt;&gt;"",ROW($L$7:$L$78)-MIN(ROW($L$7:$L$78))+1,""),""),ROW()-ROW(A$80)+1)),"##0"),","),"")</f>
        <v/>
      </c>
      <c r="M131" t="str">
        <f t="array" ref="M131">IFERROR(CONCATENATE((INDEX($O$7:$O$78,SMALL(IF($O$7:$O$78&lt;&gt;"",IF($L$7:$L$78&lt;&gt;"",ROW($L$7:$L$78)-MIN(ROW($L$7:$L$78))+1,""),""),ROW()-ROW(A$80)+1))),","),"")</f>
        <v/>
      </c>
      <c r="N131" t="str">
        <f t="array" ref="N131">IFERROR(CONCATENATE((INDEX($A$7:$A$78,SMALL(IF($O$7:$O$78&lt;&gt;"",IF($L$7:$L$78&lt;&gt;"",ROW($L$7:$L$78)-MIN(ROW($L$7:$L$78))+1,""),""),ROW()-ROW(A$80)+1))),),"")</f>
        <v/>
      </c>
      <c r="R131" t="str">
        <f t="array" ref="R131">IFERROR(CONCATENATE((INDEX($U$7:$U$78,SMALL(IF($U$7:$U$78&lt;&gt;"",IF($R$7:$R$78&lt;&gt;"",ROW($R$7:$R$78)-MIN(ROW($R$7:$R$78))+1,""),""),ROW()-ROW(A$80)+1)))," "),"")</f>
        <v/>
      </c>
      <c r="S131" t="str">
        <f t="array" ref="S131">IFERROR(CONCATENATE(TEXT(INDEX($R$7:$R$78,SMALL(IF($U$7:$U$78&lt;&gt;"",IF($R$7:$R$78&lt;&gt;"",ROW($R$7:$R$78)-MIN(ROW($R$7:$R$78))+1,""),""),ROW()-ROW(A$80)+1)),"##0")," "),"")</f>
        <v/>
      </c>
      <c r="T131" t="str">
        <f t="array" ref="T131">IFERROR(CONCATENATE((INDEX($A$7:$A$78,SMALL(IF($U$7:$U$78&lt;&gt;"",IF($R$7:$R$78&lt;&gt;"",ROW($R$7:$R$78)-MIN(ROW($R$7:$R$78))+1,""),""),ROW()-ROW(A$80)+1))),),"")</f>
        <v/>
      </c>
    </row>
    <row r="132" spans="12:20">
      <c r="L132" t="str">
        <f t="array" ref="L132">IFERROR(CONCATENATE(TEXT(INDEX($L$7:$L$78,SMALL(IF($O$7:$O$78&lt;&gt;"",IF($L$7:$L$78&lt;&gt;"",ROW($L$7:$L$78)-MIN(ROW($L$7:$L$78))+1,""),""),ROW()-ROW(A$80)+1)),"##0"),","),"")</f>
        <v/>
      </c>
      <c r="M132" t="str">
        <f t="array" ref="M132">IFERROR(CONCATENATE((INDEX($O$7:$O$78,SMALL(IF($O$7:$O$78&lt;&gt;"",IF($L$7:$L$78&lt;&gt;"",ROW($L$7:$L$78)-MIN(ROW($L$7:$L$78))+1,""),""),ROW()-ROW(A$80)+1))),","),"")</f>
        <v/>
      </c>
      <c r="N132" t="str">
        <f t="array" ref="N132">IFERROR(CONCATENATE((INDEX($A$7:$A$78,SMALL(IF($O$7:$O$78&lt;&gt;"",IF($L$7:$L$78&lt;&gt;"",ROW($L$7:$L$78)-MIN(ROW($L$7:$L$78))+1,""),""),ROW()-ROW(A$80)+1))),),"")</f>
        <v/>
      </c>
      <c r="R132" t="str">
        <f t="array" ref="R132">IFERROR(CONCATENATE((INDEX($U$7:$U$78,SMALL(IF($U$7:$U$78&lt;&gt;"",IF($R$7:$R$78&lt;&gt;"",ROW($R$7:$R$78)-MIN(ROW($R$7:$R$78))+1,""),""),ROW()-ROW(A$80)+1)))," "),"")</f>
        <v/>
      </c>
      <c r="S132" t="str">
        <f t="array" ref="S132">IFERROR(CONCATENATE(TEXT(INDEX($R$7:$R$78,SMALL(IF($U$7:$U$78&lt;&gt;"",IF($R$7:$R$78&lt;&gt;"",ROW($R$7:$R$78)-MIN(ROW($R$7:$R$78))+1,""),""),ROW()-ROW(A$80)+1)),"##0")," "),"")</f>
        <v/>
      </c>
      <c r="T132" t="str">
        <f t="array" ref="T132">IFERROR(CONCATENATE((INDEX($A$7:$A$78,SMALL(IF($U$7:$U$78&lt;&gt;"",IF($R$7:$R$78&lt;&gt;"",ROW($R$7:$R$78)-MIN(ROW($R$7:$R$78))+1,""),""),ROW()-ROW(A$80)+1))),),"")</f>
        <v/>
      </c>
    </row>
    <row r="133" spans="12:20">
      <c r="L133" t="str">
        <f t="array" ref="L133">IFERROR(CONCATENATE(TEXT(INDEX($L$7:$L$78,SMALL(IF($O$7:$O$78&lt;&gt;"",IF($L$7:$L$78&lt;&gt;"",ROW($L$7:$L$78)-MIN(ROW($L$7:$L$78))+1,""),""),ROW()-ROW(A$80)+1)),"##0"),","),"")</f>
        <v/>
      </c>
      <c r="M133" t="str">
        <f t="array" ref="M133">IFERROR(CONCATENATE((INDEX($O$7:$O$78,SMALL(IF($O$7:$O$78&lt;&gt;"",IF($L$7:$L$78&lt;&gt;"",ROW($L$7:$L$78)-MIN(ROW($L$7:$L$78))+1,""),""),ROW()-ROW(A$80)+1))),","),"")</f>
        <v/>
      </c>
      <c r="N133" t="str">
        <f t="array" ref="N133">IFERROR(CONCATENATE((INDEX($A$7:$A$78,SMALL(IF($O$7:$O$78&lt;&gt;"",IF($L$7:$L$78&lt;&gt;"",ROW($L$7:$L$78)-MIN(ROW($L$7:$L$78))+1,""),""),ROW()-ROW(A$80)+1))),),"")</f>
        <v/>
      </c>
      <c r="R133" t="str">
        <f t="array" ref="R133">IFERROR(CONCATENATE((INDEX($U$7:$U$78,SMALL(IF($U$7:$U$78&lt;&gt;"",IF($R$7:$R$78&lt;&gt;"",ROW($R$7:$R$78)-MIN(ROW($R$7:$R$78))+1,""),""),ROW()-ROW(A$80)+1)))," "),"")</f>
        <v/>
      </c>
      <c r="S133" t="str">
        <f t="array" ref="S133">IFERROR(CONCATENATE(TEXT(INDEX($R$7:$R$78,SMALL(IF($U$7:$U$78&lt;&gt;"",IF($R$7:$R$78&lt;&gt;"",ROW($R$7:$R$78)-MIN(ROW($R$7:$R$78))+1,""),""),ROW()-ROW(A$80)+1)),"##0")," "),"")</f>
        <v/>
      </c>
      <c r="T133" t="str">
        <f t="array" ref="T133">IFERROR(CONCATENATE((INDEX($A$7:$A$78,SMALL(IF($U$7:$U$78&lt;&gt;"",IF($R$7:$R$78&lt;&gt;"",ROW($R$7:$R$78)-MIN(ROW($R$7:$R$78))+1,""),""),ROW()-ROW(A$80)+1))),),"")</f>
        <v/>
      </c>
    </row>
    <row r="134" spans="12:20">
      <c r="L134" t="str">
        <f t="array" ref="L134">IFERROR(CONCATENATE(TEXT(INDEX($L$7:$L$78,SMALL(IF($O$7:$O$78&lt;&gt;"",IF($L$7:$L$78&lt;&gt;"",ROW($L$7:$L$78)-MIN(ROW($L$7:$L$78))+1,""),""),ROW()-ROW(A$80)+1)),"##0"),","),"")</f>
        <v/>
      </c>
      <c r="M134" t="str">
        <f t="array" ref="M134">IFERROR(CONCATENATE((INDEX($O$7:$O$78,SMALL(IF($O$7:$O$78&lt;&gt;"",IF($L$7:$L$78&lt;&gt;"",ROW($L$7:$L$78)-MIN(ROW($L$7:$L$78))+1,""),""),ROW()-ROW(A$80)+1))),","),"")</f>
        <v/>
      </c>
      <c r="N134" t="str">
        <f t="array" ref="N134">IFERROR(CONCATENATE((INDEX($A$7:$A$78,SMALL(IF($O$7:$O$78&lt;&gt;"",IF($L$7:$L$78&lt;&gt;"",ROW($L$7:$L$78)-MIN(ROW($L$7:$L$78))+1,""),""),ROW()-ROW(A$80)+1))),),"")</f>
        <v/>
      </c>
      <c r="R134" t="str">
        <f t="array" ref="R134">IFERROR(CONCATENATE((INDEX($U$7:$U$78,SMALL(IF($U$7:$U$78&lt;&gt;"",IF($R$7:$R$78&lt;&gt;"",ROW($R$7:$R$78)-MIN(ROW($R$7:$R$78))+1,""),""),ROW()-ROW(A$80)+1)))," "),"")</f>
        <v/>
      </c>
      <c r="S134" t="str">
        <f t="array" ref="S134">IFERROR(CONCATENATE(TEXT(INDEX($R$7:$R$78,SMALL(IF($U$7:$U$78&lt;&gt;"",IF($R$7:$R$78&lt;&gt;"",ROW($R$7:$R$78)-MIN(ROW($R$7:$R$78))+1,""),""),ROW()-ROW(A$80)+1)),"##0")," "),"")</f>
        <v/>
      </c>
      <c r="T134" t="str">
        <f t="array" ref="T134">IFERROR(CONCATENATE((INDEX($A$7:$A$78,SMALL(IF($U$7:$U$78&lt;&gt;"",IF($R$7:$R$78&lt;&gt;"",ROW($R$7:$R$78)-MIN(ROW($R$7:$R$78))+1,""),""),ROW()-ROW(A$80)+1))),),"")</f>
        <v/>
      </c>
    </row>
    <row r="135" spans="12:20">
      <c r="L135" t="str">
        <f t="array" ref="L135">IFERROR(CONCATENATE(TEXT(INDEX($L$7:$L$78,SMALL(IF($O$7:$O$78&lt;&gt;"",IF($L$7:$L$78&lt;&gt;"",ROW($L$7:$L$78)-MIN(ROW($L$7:$L$78))+1,""),""),ROW()-ROW(A$80)+1)),"##0"),","),"")</f>
        <v/>
      </c>
      <c r="M135" t="str">
        <f t="array" ref="M135">IFERROR(CONCATENATE((INDEX($O$7:$O$78,SMALL(IF($O$7:$O$78&lt;&gt;"",IF($L$7:$L$78&lt;&gt;"",ROW($L$7:$L$78)-MIN(ROW($L$7:$L$78))+1,""),""),ROW()-ROW(A$80)+1))),","),"")</f>
        <v/>
      </c>
      <c r="N135" t="str">
        <f t="array" ref="N135">IFERROR(CONCATENATE((INDEX($A$7:$A$78,SMALL(IF($O$7:$O$78&lt;&gt;"",IF($L$7:$L$78&lt;&gt;"",ROW($L$7:$L$78)-MIN(ROW($L$7:$L$78))+1,""),""),ROW()-ROW(A$80)+1))),),"")</f>
        <v/>
      </c>
      <c r="R135" t="str">
        <f t="array" ref="R135">IFERROR(CONCATENATE((INDEX($U$7:$U$78,SMALL(IF($U$7:$U$78&lt;&gt;"",IF($R$7:$R$78&lt;&gt;"",ROW($R$7:$R$78)-MIN(ROW($R$7:$R$78))+1,""),""),ROW()-ROW(A$80)+1)))," "),"")</f>
        <v/>
      </c>
      <c r="S135" t="str">
        <f t="array" ref="S135">IFERROR(CONCATENATE(TEXT(INDEX($R$7:$R$78,SMALL(IF($U$7:$U$78&lt;&gt;"",IF($R$7:$R$78&lt;&gt;"",ROW($R$7:$R$78)-MIN(ROW($R$7:$R$78))+1,""),""),ROW()-ROW(A$80)+1)),"##0")," "),"")</f>
        <v/>
      </c>
      <c r="T135" t="str">
        <f t="array" ref="T135">IFERROR(CONCATENATE((INDEX($A$7:$A$78,SMALL(IF($U$7:$U$78&lt;&gt;"",IF($R$7:$R$78&lt;&gt;"",ROW($R$7:$R$78)-MIN(ROW($R$7:$R$78))+1,""),""),ROW()-ROW(A$80)+1))),),"")</f>
        <v/>
      </c>
    </row>
    <row r="136" spans="12:20">
      <c r="L136" t="str">
        <f t="array" ref="L136">IFERROR(CONCATENATE(TEXT(INDEX($L$7:$L$78,SMALL(IF($O$7:$O$78&lt;&gt;"",IF($L$7:$L$78&lt;&gt;"",ROW($L$7:$L$78)-MIN(ROW($L$7:$L$78))+1,""),""),ROW()-ROW(A$80)+1)),"##0"),","),"")</f>
        <v/>
      </c>
      <c r="M136" t="str">
        <f t="array" ref="M136">IFERROR(CONCATENATE((INDEX($O$7:$O$78,SMALL(IF($O$7:$O$78&lt;&gt;"",IF($L$7:$L$78&lt;&gt;"",ROW($L$7:$L$78)-MIN(ROW($L$7:$L$78))+1,""),""),ROW()-ROW(A$80)+1))),","),"")</f>
        <v/>
      </c>
      <c r="N136" t="str">
        <f t="array" ref="N136">IFERROR(CONCATENATE((INDEX($A$7:$A$78,SMALL(IF($O$7:$O$78&lt;&gt;"",IF($L$7:$L$78&lt;&gt;"",ROW($L$7:$L$78)-MIN(ROW($L$7:$L$78))+1,""),""),ROW()-ROW(A$80)+1))),),"")</f>
        <v/>
      </c>
      <c r="R136" t="str">
        <f t="array" ref="R136">IFERROR(CONCATENATE((INDEX($U$7:$U$78,SMALL(IF($U$7:$U$78&lt;&gt;"",IF($R$7:$R$78&lt;&gt;"",ROW($R$7:$R$78)-MIN(ROW($R$7:$R$78))+1,""),""),ROW()-ROW(A$80)+1)))," "),"")</f>
        <v/>
      </c>
      <c r="S136" t="str">
        <f t="array" ref="S136">IFERROR(CONCATENATE(TEXT(INDEX($R$7:$R$78,SMALL(IF($U$7:$U$78&lt;&gt;"",IF($R$7:$R$78&lt;&gt;"",ROW($R$7:$R$78)-MIN(ROW($R$7:$R$78))+1,""),""),ROW()-ROW(A$80)+1)),"##0")," "),"")</f>
        <v/>
      </c>
      <c r="T136" t="str">
        <f t="array" ref="T136">IFERROR(CONCATENATE((INDEX($A$7:$A$78,SMALL(IF($U$7:$U$78&lt;&gt;"",IF($R$7:$R$78&lt;&gt;"",ROW($R$7:$R$78)-MIN(ROW($R$7:$R$78))+1,""),""),ROW()-ROW(A$80)+1))),),"")</f>
        <v/>
      </c>
    </row>
    <row r="137" spans="12:20">
      <c r="L137" t="str">
        <f t="array" ref="L137">IFERROR(CONCATENATE(TEXT(INDEX($L$7:$L$78,SMALL(IF($O$7:$O$78&lt;&gt;"",IF($L$7:$L$78&lt;&gt;"",ROW($L$7:$L$78)-MIN(ROW($L$7:$L$78))+1,""),""),ROW()-ROW(A$80)+1)),"##0"),","),"")</f>
        <v/>
      </c>
      <c r="M137" t="str">
        <f t="array" ref="M137">IFERROR(CONCATENATE((INDEX($O$7:$O$78,SMALL(IF($O$7:$O$78&lt;&gt;"",IF($L$7:$L$78&lt;&gt;"",ROW($L$7:$L$78)-MIN(ROW($L$7:$L$78))+1,""),""),ROW()-ROW(A$80)+1))),","),"")</f>
        <v/>
      </c>
      <c r="N137" t="str">
        <f t="array" ref="N137">IFERROR(CONCATENATE((INDEX($A$7:$A$78,SMALL(IF($O$7:$O$78&lt;&gt;"",IF($L$7:$L$78&lt;&gt;"",ROW($L$7:$L$78)-MIN(ROW($L$7:$L$78))+1,""),""),ROW()-ROW(A$80)+1))),),"")</f>
        <v/>
      </c>
      <c r="R137" t="str">
        <f t="array" ref="R137">IFERROR(CONCATENATE((INDEX($U$7:$U$78,SMALL(IF($U$7:$U$78&lt;&gt;"",IF($R$7:$R$78&lt;&gt;"",ROW($R$7:$R$78)-MIN(ROW($R$7:$R$78))+1,""),""),ROW()-ROW(A$80)+1)))," "),"")</f>
        <v/>
      </c>
      <c r="S137" t="str">
        <f t="array" ref="S137">IFERROR(CONCATENATE(TEXT(INDEX($R$7:$R$78,SMALL(IF($U$7:$U$78&lt;&gt;"",IF($R$7:$R$78&lt;&gt;"",ROW($R$7:$R$78)-MIN(ROW($R$7:$R$78))+1,""),""),ROW()-ROW(A$80)+1)),"##0")," "),"")</f>
        <v/>
      </c>
      <c r="T137" t="str">
        <f t="array" ref="T137">IFERROR(CONCATENATE((INDEX($A$7:$A$78,SMALL(IF($U$7:$U$78&lt;&gt;"",IF($R$7:$R$78&lt;&gt;"",ROW($R$7:$R$78)-MIN(ROW($R$7:$R$78))+1,""),""),ROW()-ROW(A$80)+1))),),"")</f>
        <v/>
      </c>
    </row>
    <row r="138" spans="12:20">
      <c r="L138" t="str">
        <f t="array" ref="L138">IFERROR(CONCATENATE(TEXT(INDEX($L$7:$L$78,SMALL(IF($O$7:$O$78&lt;&gt;"",IF($L$7:$L$78&lt;&gt;"",ROW($L$7:$L$78)-MIN(ROW($L$7:$L$78))+1,""),""),ROW()-ROW(A$80)+1)),"##0"),","),"")</f>
        <v/>
      </c>
      <c r="M138" t="str">
        <f t="array" ref="M138">IFERROR(CONCATENATE((INDEX($O$7:$O$78,SMALL(IF($O$7:$O$78&lt;&gt;"",IF($L$7:$L$78&lt;&gt;"",ROW($L$7:$L$78)-MIN(ROW($L$7:$L$78))+1,""),""),ROW()-ROW(A$80)+1))),","),"")</f>
        <v/>
      </c>
      <c r="N138" t="str">
        <f t="array" ref="N138">IFERROR(CONCATENATE((INDEX($A$7:$A$78,SMALL(IF($O$7:$O$78&lt;&gt;"",IF($L$7:$L$78&lt;&gt;"",ROW($L$7:$L$78)-MIN(ROW($L$7:$L$78))+1,""),""),ROW()-ROW(A$80)+1))),),"")</f>
        <v/>
      </c>
      <c r="R138" t="str">
        <f t="array" ref="R138">IFERROR(CONCATENATE((INDEX($U$7:$U$78,SMALL(IF($U$7:$U$78&lt;&gt;"",IF($R$7:$R$78&lt;&gt;"",ROW($R$7:$R$78)-MIN(ROW($R$7:$R$78))+1,""),""),ROW()-ROW(A$80)+1)))," "),"")</f>
        <v/>
      </c>
      <c r="S138" t="str">
        <f t="array" ref="S138">IFERROR(CONCATENATE(TEXT(INDEX($R$7:$R$78,SMALL(IF($U$7:$U$78&lt;&gt;"",IF($R$7:$R$78&lt;&gt;"",ROW($R$7:$R$78)-MIN(ROW($R$7:$R$78))+1,""),""),ROW()-ROW(A$80)+1)),"##0")," "),"")</f>
        <v/>
      </c>
      <c r="T138" t="str">
        <f t="array" ref="T138">IFERROR(CONCATENATE((INDEX($A$7:$A$78,SMALL(IF($U$7:$U$78&lt;&gt;"",IF($R$7:$R$78&lt;&gt;"",ROW($R$7:$R$78)-MIN(ROW($R$7:$R$78))+1,""),""),ROW()-ROW(A$80)+1))),),"")</f>
        <v/>
      </c>
    </row>
    <row r="139" spans="12:20">
      <c r="L139" t="str">
        <f t="array" ref="L139">IFERROR(CONCATENATE(TEXT(INDEX($L$7:$L$78,SMALL(IF($O$7:$O$78&lt;&gt;"",IF($L$7:$L$78&lt;&gt;"",ROW($L$7:$L$78)-MIN(ROW($L$7:$L$78))+1,""),""),ROW()-ROW(A$80)+1)),"##0"),","),"")</f>
        <v/>
      </c>
      <c r="M139" t="str">
        <f t="array" ref="M139">IFERROR(CONCATENATE((INDEX($O$7:$O$78,SMALL(IF($O$7:$O$78&lt;&gt;"",IF($L$7:$L$78&lt;&gt;"",ROW($L$7:$L$78)-MIN(ROW($L$7:$L$78))+1,""),""),ROW()-ROW(A$80)+1))),","),"")</f>
        <v/>
      </c>
      <c r="N139" t="str">
        <f t="array" ref="N139">IFERROR(CONCATENATE((INDEX($A$7:$A$78,SMALL(IF($O$7:$O$78&lt;&gt;"",IF($L$7:$L$78&lt;&gt;"",ROW($L$7:$L$78)-MIN(ROW($L$7:$L$78))+1,""),""),ROW()-ROW(A$80)+1))),),"")</f>
        <v/>
      </c>
      <c r="R139" t="str">
        <f t="array" ref="R139">IFERROR(CONCATENATE((INDEX($U$7:$U$78,SMALL(IF($U$7:$U$78&lt;&gt;"",IF($R$7:$R$78&lt;&gt;"",ROW($R$7:$R$78)-MIN(ROW($R$7:$R$78))+1,""),""),ROW()-ROW(A$80)+1)))," "),"")</f>
        <v/>
      </c>
      <c r="S139" t="str">
        <f t="array" ref="S139">IFERROR(CONCATENATE(TEXT(INDEX($R$7:$R$78,SMALL(IF($U$7:$U$78&lt;&gt;"",IF($R$7:$R$78&lt;&gt;"",ROW($R$7:$R$78)-MIN(ROW($R$7:$R$78))+1,""),""),ROW()-ROW(A$80)+1)),"##0")," "),"")</f>
        <v/>
      </c>
      <c r="T139" t="str">
        <f t="array" ref="T139">IFERROR(CONCATENATE((INDEX($A$7:$A$78,SMALL(IF($U$7:$U$78&lt;&gt;"",IF($R$7:$R$78&lt;&gt;"",ROW($R$7:$R$78)-MIN(ROW($R$7:$R$78))+1,""),""),ROW()-ROW(A$80)+1))),),"")</f>
        <v/>
      </c>
    </row>
    <row r="140" spans="12:20">
      <c r="L140" t="str">
        <f t="array" ref="L140">IFERROR(CONCATENATE(TEXT(INDEX($L$7:$L$78,SMALL(IF($O$7:$O$78&lt;&gt;"",IF($L$7:$L$78&lt;&gt;"",ROW($L$7:$L$78)-MIN(ROW($L$7:$L$78))+1,""),""),ROW()-ROW(A$80)+1)),"##0"),","),"")</f>
        <v/>
      </c>
      <c r="M140" t="str">
        <f t="array" ref="M140">IFERROR(CONCATENATE((INDEX($O$7:$O$78,SMALL(IF($O$7:$O$78&lt;&gt;"",IF($L$7:$L$78&lt;&gt;"",ROW($L$7:$L$78)-MIN(ROW($L$7:$L$78))+1,""),""),ROW()-ROW(A$80)+1))),","),"")</f>
        <v/>
      </c>
      <c r="N140" t="str">
        <f t="array" ref="N140">IFERROR(CONCATENATE((INDEX($A$7:$A$78,SMALL(IF($O$7:$O$78&lt;&gt;"",IF($L$7:$L$78&lt;&gt;"",ROW($L$7:$L$78)-MIN(ROW($L$7:$L$78))+1,""),""),ROW()-ROW(A$80)+1))),),"")</f>
        <v/>
      </c>
      <c r="R140" t="str">
        <f t="array" ref="R140">IFERROR(CONCATENATE((INDEX($U$7:$U$78,SMALL(IF($U$7:$U$78&lt;&gt;"",IF($R$7:$R$78&lt;&gt;"",ROW($R$7:$R$78)-MIN(ROW($R$7:$R$78))+1,""),""),ROW()-ROW(A$80)+1)))," "),"")</f>
        <v/>
      </c>
      <c r="S140" t="str">
        <f t="array" ref="S140">IFERROR(CONCATENATE(TEXT(INDEX($R$7:$R$78,SMALL(IF($U$7:$U$78&lt;&gt;"",IF($R$7:$R$78&lt;&gt;"",ROW($R$7:$R$78)-MIN(ROW($R$7:$R$78))+1,""),""),ROW()-ROW(A$80)+1)),"##0")," "),"")</f>
        <v/>
      </c>
      <c r="T140" t="str">
        <f t="array" ref="T140">IFERROR(CONCATENATE((INDEX($A$7:$A$78,SMALL(IF($U$7:$U$78&lt;&gt;"",IF($R$7:$R$78&lt;&gt;"",ROW($R$7:$R$78)-MIN(ROW($R$7:$R$78))+1,""),""),ROW()-ROW(A$80)+1))),),"")</f>
        <v/>
      </c>
    </row>
    <row r="141" spans="12:20">
      <c r="L141" t="str">
        <f t="array" ref="L141">IFERROR(CONCATENATE(TEXT(INDEX($L$7:$L$78,SMALL(IF($O$7:$O$78&lt;&gt;"",IF($L$7:$L$78&lt;&gt;"",ROW($L$7:$L$78)-MIN(ROW($L$7:$L$78))+1,""),""),ROW()-ROW(A$80)+1)),"##0"),","),"")</f>
        <v/>
      </c>
      <c r="M141" t="str">
        <f t="array" ref="M141">IFERROR(CONCATENATE((INDEX($O$7:$O$78,SMALL(IF($O$7:$O$78&lt;&gt;"",IF($L$7:$L$78&lt;&gt;"",ROW($L$7:$L$78)-MIN(ROW($L$7:$L$78))+1,""),""),ROW()-ROW(A$80)+1))),","),"")</f>
        <v/>
      </c>
      <c r="N141" t="str">
        <f t="array" ref="N141">IFERROR(CONCATENATE((INDEX($A$7:$A$78,SMALL(IF($O$7:$O$78&lt;&gt;"",IF($L$7:$L$78&lt;&gt;"",ROW($L$7:$L$78)-MIN(ROW($L$7:$L$78))+1,""),""),ROW()-ROW(A$80)+1))),),"")</f>
        <v/>
      </c>
      <c r="R141" t="str">
        <f t="array" ref="R141">IFERROR(CONCATENATE((INDEX($U$7:$U$78,SMALL(IF($U$7:$U$78&lt;&gt;"",IF($R$7:$R$78&lt;&gt;"",ROW($R$7:$R$78)-MIN(ROW($R$7:$R$78))+1,""),""),ROW()-ROW(A$80)+1)))," "),"")</f>
        <v/>
      </c>
      <c r="S141" t="str">
        <f t="array" ref="S141">IFERROR(CONCATENATE(TEXT(INDEX($R$7:$R$78,SMALL(IF($U$7:$U$78&lt;&gt;"",IF($R$7:$R$78&lt;&gt;"",ROW($R$7:$R$78)-MIN(ROW($R$7:$R$78))+1,""),""),ROW()-ROW(A$80)+1)),"##0")," "),"")</f>
        <v/>
      </c>
      <c r="T141" t="str">
        <f t="array" ref="T141">IFERROR(CONCATENATE((INDEX($A$7:$A$78,SMALL(IF($U$7:$U$78&lt;&gt;"",IF($R$7:$R$78&lt;&gt;"",ROW($R$7:$R$78)-MIN(ROW($R$7:$R$78))+1,""),""),ROW()-ROW(A$80)+1))),),"")</f>
        <v/>
      </c>
    </row>
    <row r="142" spans="12:20">
      <c r="L142" t="str">
        <f t="array" ref="L142">IFERROR(CONCATENATE(TEXT(INDEX($L$7:$L$78,SMALL(IF($O$7:$O$78&lt;&gt;"",IF($L$7:$L$78&lt;&gt;"",ROW($L$7:$L$78)-MIN(ROW($L$7:$L$78))+1,""),""),ROW()-ROW(A$80)+1)),"##0"),","),"")</f>
        <v/>
      </c>
      <c r="M142" t="str">
        <f t="array" ref="M142">IFERROR(CONCATENATE((INDEX($O$7:$O$78,SMALL(IF($O$7:$O$78&lt;&gt;"",IF($L$7:$L$78&lt;&gt;"",ROW($L$7:$L$78)-MIN(ROW($L$7:$L$78))+1,""),""),ROW()-ROW(A$80)+1))),","),"")</f>
        <v/>
      </c>
      <c r="N142" t="str">
        <f t="array" ref="N142">IFERROR(CONCATENATE((INDEX($A$7:$A$78,SMALL(IF($O$7:$O$78&lt;&gt;"",IF($L$7:$L$78&lt;&gt;"",ROW($L$7:$L$78)-MIN(ROW($L$7:$L$78))+1,""),""),ROW()-ROW(A$80)+1))),),"")</f>
        <v/>
      </c>
      <c r="R142" t="str">
        <f t="array" ref="R142">IFERROR(CONCATENATE((INDEX($U$7:$U$78,SMALL(IF($U$7:$U$78&lt;&gt;"",IF($R$7:$R$78&lt;&gt;"",ROW($R$7:$R$78)-MIN(ROW($R$7:$R$78))+1,""),""),ROW()-ROW(A$80)+1)))," "),"")</f>
        <v/>
      </c>
      <c r="S142" t="str">
        <f t="array" ref="S142">IFERROR(CONCATENATE(TEXT(INDEX($R$7:$R$78,SMALL(IF($U$7:$U$78&lt;&gt;"",IF($R$7:$R$78&lt;&gt;"",ROW($R$7:$R$78)-MIN(ROW($R$7:$R$78))+1,""),""),ROW()-ROW(A$80)+1)),"##0")," "),"")</f>
        <v/>
      </c>
      <c r="T142" t="str">
        <f t="array" ref="T142">IFERROR(CONCATENATE((INDEX($A$7:$A$78,SMALL(IF($U$7:$U$78&lt;&gt;"",IF($R$7:$R$78&lt;&gt;"",ROW($R$7:$R$78)-MIN(ROW($R$7:$R$78))+1,""),""),ROW()-ROW(A$80)+1))),),"")</f>
        <v/>
      </c>
    </row>
    <row r="143" spans="12:20">
      <c r="L143" t="str">
        <f t="array" ref="L143">IFERROR(CONCATENATE(TEXT(INDEX($L$7:$L$78,SMALL(IF($O$7:$O$78&lt;&gt;"",IF($L$7:$L$78&lt;&gt;"",ROW($L$7:$L$78)-MIN(ROW($L$7:$L$78))+1,""),""),ROW()-ROW(A$80)+1)),"##0"),","),"")</f>
        <v/>
      </c>
      <c r="M143" t="str">
        <f t="array" ref="M143">IFERROR(CONCATENATE((INDEX($O$7:$O$78,SMALL(IF($O$7:$O$78&lt;&gt;"",IF($L$7:$L$78&lt;&gt;"",ROW($L$7:$L$78)-MIN(ROW($L$7:$L$78))+1,""),""),ROW()-ROW(A$80)+1))),","),"")</f>
        <v/>
      </c>
      <c r="N143" t="str">
        <f t="array" ref="N143">IFERROR(CONCATENATE((INDEX($A$7:$A$78,SMALL(IF($O$7:$O$78&lt;&gt;"",IF($L$7:$L$78&lt;&gt;"",ROW($L$7:$L$78)-MIN(ROW($L$7:$L$78))+1,""),""),ROW()-ROW(A$80)+1))),),"")</f>
        <v/>
      </c>
      <c r="R143" t="str">
        <f t="array" ref="R143">IFERROR(CONCATENATE((INDEX($U$7:$U$78,SMALL(IF($U$7:$U$78&lt;&gt;"",IF($R$7:$R$78&lt;&gt;"",ROW($R$7:$R$78)-MIN(ROW($R$7:$R$78))+1,""),""),ROW()-ROW(A$80)+1)))," "),"")</f>
        <v/>
      </c>
      <c r="S143" t="str">
        <f t="array" ref="S143">IFERROR(CONCATENATE(TEXT(INDEX($R$7:$R$78,SMALL(IF($U$7:$U$78&lt;&gt;"",IF($R$7:$R$78&lt;&gt;"",ROW($R$7:$R$78)-MIN(ROW($R$7:$R$78))+1,""),""),ROW()-ROW(A$80)+1)),"##0")," "),"")</f>
        <v/>
      </c>
      <c r="T143" t="str">
        <f t="array" ref="T143">IFERROR(CONCATENATE((INDEX($A$7:$A$78,SMALL(IF($U$7:$U$78&lt;&gt;"",IF($R$7:$R$78&lt;&gt;"",ROW($R$7:$R$78)-MIN(ROW($R$7:$R$78))+1,""),""),ROW()-ROW(A$80)+1))),),"")</f>
        <v/>
      </c>
    </row>
    <row r="144" spans="12:20">
      <c r="L144" t="str">
        <f t="array" ref="L144">IFERROR(CONCATENATE(TEXT(INDEX($L$7:$L$78,SMALL(IF($O$7:$O$78&lt;&gt;"",IF($L$7:$L$78&lt;&gt;"",ROW($L$7:$L$78)-MIN(ROW($L$7:$L$78))+1,""),""),ROW()-ROW(A$80)+1)),"##0"),","),"")</f>
        <v/>
      </c>
      <c r="M144" t="str">
        <f t="array" ref="M144">IFERROR(CONCATENATE((INDEX($O$7:$O$78,SMALL(IF($O$7:$O$78&lt;&gt;"",IF($L$7:$L$78&lt;&gt;"",ROW($L$7:$L$78)-MIN(ROW($L$7:$L$78))+1,""),""),ROW()-ROW(A$80)+1))),","),"")</f>
        <v/>
      </c>
      <c r="N144" t="str">
        <f t="array" ref="N144">IFERROR(CONCATENATE((INDEX($A$7:$A$78,SMALL(IF($O$7:$O$78&lt;&gt;"",IF($L$7:$L$78&lt;&gt;"",ROW($L$7:$L$78)-MIN(ROW($L$7:$L$78))+1,""),""),ROW()-ROW(A$80)+1))),),"")</f>
        <v/>
      </c>
      <c r="R144" t="str">
        <f t="array" ref="R144">IFERROR(CONCATENATE((INDEX($U$7:$U$78,SMALL(IF($U$7:$U$78&lt;&gt;"",IF($R$7:$R$78&lt;&gt;"",ROW($R$7:$R$78)-MIN(ROW($R$7:$R$78))+1,""),""),ROW()-ROW(A$80)+1)))," "),"")</f>
        <v/>
      </c>
      <c r="S144" t="str">
        <f t="array" ref="S144">IFERROR(CONCATENATE(TEXT(INDEX($R$7:$R$78,SMALL(IF($U$7:$U$78&lt;&gt;"",IF($R$7:$R$78&lt;&gt;"",ROW($R$7:$R$78)-MIN(ROW($R$7:$R$78))+1,""),""),ROW()-ROW(A$80)+1)),"##0")," "),"")</f>
        <v/>
      </c>
      <c r="T144" t="str">
        <f t="array" ref="T144">IFERROR(CONCATENATE((INDEX($A$7:$A$78,SMALL(IF($U$7:$U$78&lt;&gt;"",IF($R$7:$R$78&lt;&gt;"",ROW($R$7:$R$78)-MIN(ROW($R$7:$R$78))+1,""),""),ROW()-ROW(A$80)+1))),),"")</f>
        <v/>
      </c>
    </row>
    <row r="145" spans="12:20">
      <c r="L145" t="str">
        <f t="array" ref="L145">IFERROR(CONCATENATE(TEXT(INDEX($L$7:$L$78,SMALL(IF($O$7:$O$78&lt;&gt;"",IF($L$7:$L$78&lt;&gt;"",ROW($L$7:$L$78)-MIN(ROW($L$7:$L$78))+1,""),""),ROW()-ROW(A$80)+1)),"##0"),","),"")</f>
        <v/>
      </c>
      <c r="M145" t="str">
        <f t="array" ref="M145">IFERROR(CONCATENATE((INDEX($O$7:$O$78,SMALL(IF($O$7:$O$78&lt;&gt;"",IF($L$7:$L$78&lt;&gt;"",ROW($L$7:$L$78)-MIN(ROW($L$7:$L$78))+1,""),""),ROW()-ROW(A$80)+1))),","),"")</f>
        <v/>
      </c>
      <c r="N145" t="str">
        <f t="array" ref="N145">IFERROR(CONCATENATE((INDEX($A$7:$A$78,SMALL(IF($O$7:$O$78&lt;&gt;"",IF($L$7:$L$78&lt;&gt;"",ROW($L$7:$L$78)-MIN(ROW($L$7:$L$78))+1,""),""),ROW()-ROW(A$80)+1))),),"")</f>
        <v/>
      </c>
      <c r="R145" t="str">
        <f t="array" ref="R145">IFERROR(CONCATENATE((INDEX($U$7:$U$78,SMALL(IF($U$7:$U$78&lt;&gt;"",IF($R$7:$R$78&lt;&gt;"",ROW($R$7:$R$78)-MIN(ROW($R$7:$R$78))+1,""),""),ROW()-ROW(A$80)+1)))," "),"")</f>
        <v/>
      </c>
      <c r="S145" t="str">
        <f t="array" ref="S145">IFERROR(CONCATENATE(TEXT(INDEX($R$7:$R$78,SMALL(IF($U$7:$U$78&lt;&gt;"",IF($R$7:$R$78&lt;&gt;"",ROW($R$7:$R$78)-MIN(ROW($R$7:$R$78))+1,""),""),ROW()-ROW(A$80)+1)),"##0")," "),"")</f>
        <v/>
      </c>
      <c r="T145" t="str">
        <f t="array" ref="T145">IFERROR(CONCATENATE((INDEX($A$7:$A$78,SMALL(IF($U$7:$U$78&lt;&gt;"",IF($R$7:$R$78&lt;&gt;"",ROW($R$7:$R$78)-MIN(ROW($R$7:$R$78))+1,""),""),ROW()-ROW(A$80)+1))),),"")</f>
        <v/>
      </c>
    </row>
    <row r="146" spans="12:20">
      <c r="L146" t="str">
        <f t="array" ref="L146">IFERROR(CONCATENATE(TEXT(INDEX($L$7:$L$78,SMALL(IF($O$7:$O$78&lt;&gt;"",IF($L$7:$L$78&lt;&gt;"",ROW($L$7:$L$78)-MIN(ROW($L$7:$L$78))+1,""),""),ROW()-ROW(A$80)+1)),"##0"),","),"")</f>
        <v/>
      </c>
      <c r="M146" t="str">
        <f t="array" ref="M146">IFERROR(CONCATENATE((INDEX($O$7:$O$78,SMALL(IF($O$7:$O$78&lt;&gt;"",IF($L$7:$L$78&lt;&gt;"",ROW($L$7:$L$78)-MIN(ROW($L$7:$L$78))+1,""),""),ROW()-ROW(A$80)+1))),","),"")</f>
        <v/>
      </c>
      <c r="N146" t="str">
        <f t="array" ref="N146">IFERROR(CONCATENATE((INDEX($A$7:$A$78,SMALL(IF($O$7:$O$78&lt;&gt;"",IF($L$7:$L$78&lt;&gt;"",ROW($L$7:$L$78)-MIN(ROW($L$7:$L$78))+1,""),""),ROW()-ROW(A$80)+1))),),"")</f>
        <v/>
      </c>
      <c r="R146" t="str">
        <f t="array" ref="R146">IFERROR(CONCATENATE((INDEX($U$7:$U$78,SMALL(IF($U$7:$U$78&lt;&gt;"",IF($R$7:$R$78&lt;&gt;"",ROW($R$7:$R$78)-MIN(ROW($R$7:$R$78))+1,""),""),ROW()-ROW(A$80)+1)))," "),"")</f>
        <v/>
      </c>
      <c r="S146" t="str">
        <f t="array" ref="S146">IFERROR(CONCATENATE(TEXT(INDEX($R$7:$R$78,SMALL(IF($U$7:$U$78&lt;&gt;"",IF($R$7:$R$78&lt;&gt;"",ROW($R$7:$R$78)-MIN(ROW($R$7:$R$78))+1,""),""),ROW()-ROW(A$80)+1)),"##0")," "),"")</f>
        <v/>
      </c>
      <c r="T146" t="str">
        <f t="array" ref="T146">IFERROR(CONCATENATE((INDEX($A$7:$A$78,SMALL(IF($U$7:$U$78&lt;&gt;"",IF($R$7:$R$78&lt;&gt;"",ROW($R$7:$R$78)-MIN(ROW($R$7:$R$78))+1,""),""),ROW()-ROW(A$80)+1))),),"")</f>
        <v/>
      </c>
    </row>
    <row r="147" spans="12:20">
      <c r="L147" t="str">
        <f t="array" ref="L147">IFERROR(CONCATENATE(TEXT(INDEX($L$7:$L$78,SMALL(IF($O$7:$O$78&lt;&gt;"",IF($L$7:$L$78&lt;&gt;"",ROW($L$7:$L$78)-MIN(ROW($L$7:$L$78))+1,""),""),ROW()-ROW(A$80)+1)),"##0"),","),"")</f>
        <v/>
      </c>
      <c r="M147" t="str">
        <f t="array" ref="M147">IFERROR(CONCATENATE((INDEX($O$7:$O$78,SMALL(IF($O$7:$O$78&lt;&gt;"",IF($L$7:$L$78&lt;&gt;"",ROW($L$7:$L$78)-MIN(ROW($L$7:$L$78))+1,""),""),ROW()-ROW(A$80)+1))),","),"")</f>
        <v/>
      </c>
      <c r="N147" t="str">
        <f t="array" ref="N147">IFERROR(CONCATENATE((INDEX($A$7:$A$78,SMALL(IF($O$7:$O$78&lt;&gt;"",IF($L$7:$L$78&lt;&gt;"",ROW($L$7:$L$78)-MIN(ROW($L$7:$L$78))+1,""),""),ROW()-ROW(A$80)+1))),),"")</f>
        <v/>
      </c>
      <c r="R147" t="str">
        <f t="array" ref="R147">IFERROR(CONCATENATE((INDEX($U$7:$U$78,SMALL(IF($U$7:$U$78&lt;&gt;"",IF($R$7:$R$78&lt;&gt;"",ROW($R$7:$R$78)-MIN(ROW($R$7:$R$78))+1,""),""),ROW()-ROW(A$80)+1)))," "),"")</f>
        <v/>
      </c>
      <c r="S147" t="str">
        <f t="array" ref="S147">IFERROR(CONCATENATE(TEXT(INDEX($R$7:$R$78,SMALL(IF($U$7:$U$78&lt;&gt;"",IF($R$7:$R$78&lt;&gt;"",ROW($R$7:$R$78)-MIN(ROW($R$7:$R$78))+1,""),""),ROW()-ROW(A$80)+1)),"##0")," "),"")</f>
        <v/>
      </c>
      <c r="T147" t="str">
        <f t="array" ref="T147">IFERROR(CONCATENATE((INDEX($A$7:$A$78,SMALL(IF($U$7:$U$78&lt;&gt;"",IF($R$7:$R$78&lt;&gt;"",ROW($R$7:$R$78)-MIN(ROW($R$7:$R$78))+1,""),""),ROW()-ROW(A$80)+1))),),"")</f>
        <v/>
      </c>
    </row>
    <row r="148" spans="12:20">
      <c r="L148" t="str">
        <f t="array" ref="L148">IFERROR(CONCATENATE(TEXT(INDEX($L$7:$L$78,SMALL(IF($O$7:$O$78&lt;&gt;"",IF($L$7:$L$78&lt;&gt;"",ROW($L$7:$L$78)-MIN(ROW($L$7:$L$78))+1,""),""),ROW()-ROW(A$80)+1)),"##0"),","),"")</f>
        <v/>
      </c>
      <c r="M148" t="str">
        <f t="array" ref="M148">IFERROR(CONCATENATE((INDEX($O$7:$O$78,SMALL(IF($O$7:$O$78&lt;&gt;"",IF($L$7:$L$78&lt;&gt;"",ROW($L$7:$L$78)-MIN(ROW($L$7:$L$78))+1,""),""),ROW()-ROW(A$80)+1))),","),"")</f>
        <v/>
      </c>
      <c r="N148" t="str">
        <f t="array" ref="N148">IFERROR(CONCATENATE((INDEX($A$7:$A$78,SMALL(IF($O$7:$O$78&lt;&gt;"",IF($L$7:$L$78&lt;&gt;"",ROW($L$7:$L$78)-MIN(ROW($L$7:$L$78))+1,""),""),ROW()-ROW(A$80)+1))),),"")</f>
        <v/>
      </c>
      <c r="R148" t="str">
        <f t="array" ref="R148">IFERROR(CONCATENATE((INDEX($U$7:$U$78,SMALL(IF($U$7:$U$78&lt;&gt;"",IF($R$7:$R$78&lt;&gt;"",ROW($R$7:$R$78)-MIN(ROW($R$7:$R$78))+1,""),""),ROW()-ROW(A$80)+1)))," "),"")</f>
        <v/>
      </c>
      <c r="S148" t="str">
        <f t="array" ref="S148">IFERROR(CONCATENATE(TEXT(INDEX($R$7:$R$78,SMALL(IF($U$7:$U$78&lt;&gt;"",IF($R$7:$R$78&lt;&gt;"",ROW($R$7:$R$78)-MIN(ROW($R$7:$R$78))+1,""),""),ROW()-ROW(A$80)+1)),"##0")," "),"")</f>
        <v/>
      </c>
      <c r="T148" t="str">
        <f t="array" ref="T148">IFERROR(CONCATENATE((INDEX($A$7:$A$78,SMALL(IF($U$7:$U$78&lt;&gt;"",IF($R$7:$R$78&lt;&gt;"",ROW($R$7:$R$78)-MIN(ROW($R$7:$R$78))+1,""),""),ROW()-ROW(A$80)+1))),),"")</f>
        <v/>
      </c>
    </row>
    <row r="149" spans="12:20">
      <c r="L149" t="str">
        <f t="array" ref="L149">IFERROR(CONCATENATE(TEXT(INDEX($L$7:$L$78,SMALL(IF($O$7:$O$78&lt;&gt;"",IF($L$7:$L$78&lt;&gt;"",ROW($L$7:$L$78)-MIN(ROW($L$7:$L$78))+1,""),""),ROW()-ROW(A$80)+1)),"##0"),","),"")</f>
        <v/>
      </c>
      <c r="M149" t="str">
        <f t="array" ref="M149">IFERROR(CONCATENATE((INDEX($O$7:$O$78,SMALL(IF($O$7:$O$78&lt;&gt;"",IF($L$7:$L$78&lt;&gt;"",ROW($L$7:$L$78)-MIN(ROW($L$7:$L$78))+1,""),""),ROW()-ROW(A$80)+1))),","),"")</f>
        <v/>
      </c>
      <c r="N149" t="str">
        <f t="array" ref="N149">IFERROR(CONCATENATE((INDEX($A$7:$A$78,SMALL(IF($O$7:$O$78&lt;&gt;"",IF($L$7:$L$78&lt;&gt;"",ROW($L$7:$L$78)-MIN(ROW($L$7:$L$78))+1,""),""),ROW()-ROW(A$80)+1))),),"")</f>
        <v/>
      </c>
      <c r="R149" t="str">
        <f t="array" ref="R149">IFERROR(CONCATENATE((INDEX($U$7:$U$78,SMALL(IF($U$7:$U$78&lt;&gt;"",IF($R$7:$R$78&lt;&gt;"",ROW($R$7:$R$78)-MIN(ROW($R$7:$R$78))+1,""),""),ROW()-ROW(A$80)+1)))," "),"")</f>
        <v/>
      </c>
      <c r="S149" t="str">
        <f t="array" ref="S149">IFERROR(CONCATENATE(TEXT(INDEX($R$7:$R$78,SMALL(IF($U$7:$U$78&lt;&gt;"",IF($R$7:$R$78&lt;&gt;"",ROW($R$7:$R$78)-MIN(ROW($R$7:$R$78))+1,""),""),ROW()-ROW(A$80)+1)),"##0")," "),"")</f>
        <v/>
      </c>
      <c r="T149" t="str">
        <f t="array" ref="T149">IFERROR(CONCATENATE((INDEX($A$7:$A$78,SMALL(IF($U$7:$U$78&lt;&gt;"",IF($R$7:$R$78&lt;&gt;"",ROW($R$7:$R$78)-MIN(ROW($R$7:$R$78))+1,""),""),ROW()-ROW(A$80)+1))),),"")</f>
        <v/>
      </c>
    </row>
    <row r="150" spans="12:20">
      <c r="L150" t="str">
        <f t="array" ref="L150">IFERROR(CONCATENATE(TEXT(INDEX($L$7:$L$78,SMALL(IF($O$7:$O$78&lt;&gt;"",IF($L$7:$L$78&lt;&gt;"",ROW($L$7:$L$78)-MIN(ROW($L$7:$L$78))+1,""),""),ROW()-ROW(A$80)+1)),"##0"),","),"")</f>
        <v/>
      </c>
      <c r="M150" t="str">
        <f t="array" ref="M150">IFERROR(CONCATENATE((INDEX($O$7:$O$78,SMALL(IF($O$7:$O$78&lt;&gt;"",IF($L$7:$L$78&lt;&gt;"",ROW($L$7:$L$78)-MIN(ROW($L$7:$L$78))+1,""),""),ROW()-ROW(A$80)+1))),","),"")</f>
        <v/>
      </c>
      <c r="N150" t="str">
        <f t="array" ref="N150">IFERROR(CONCATENATE((INDEX($A$7:$A$78,SMALL(IF($O$7:$O$78&lt;&gt;"",IF($L$7:$L$78&lt;&gt;"",ROW($L$7:$L$78)-MIN(ROW($L$7:$L$78))+1,""),""),ROW()-ROW(A$80)+1))),),"")</f>
        <v/>
      </c>
      <c r="R150" t="str">
        <f t="array" ref="R150">IFERROR(CONCATENATE((INDEX($U$7:$U$78,SMALL(IF($U$7:$U$78&lt;&gt;"",IF($R$7:$R$78&lt;&gt;"",ROW($R$7:$R$78)-MIN(ROW($R$7:$R$78))+1,""),""),ROW()-ROW(A$80)+1)))," "),"")</f>
        <v/>
      </c>
      <c r="S150" t="str">
        <f t="array" ref="S150">IFERROR(CONCATENATE(TEXT(INDEX($R$7:$R$78,SMALL(IF($U$7:$U$78&lt;&gt;"",IF($R$7:$R$78&lt;&gt;"",ROW($R$7:$R$78)-MIN(ROW($R$7:$R$78))+1,""),""),ROW()-ROW(A$80)+1)),"##0")," "),"")</f>
        <v/>
      </c>
      <c r="T150" t="str">
        <f t="array" ref="T150">IFERROR(CONCATENATE((INDEX($A$7:$A$78,SMALL(IF($U$7:$U$78&lt;&gt;"",IF($R$7:$R$78&lt;&gt;"",ROW($R$7:$R$78)-MIN(ROW($R$7:$R$78))+1,""),""),ROW()-ROW(A$80)+1))),),"")</f>
        <v/>
      </c>
    </row>
    <row r="151" spans="12:20">
      <c r="L151" t="str">
        <f t="array" ref="L151">IFERROR(CONCATENATE(TEXT(INDEX($L$7:$L$78,SMALL(IF($O$7:$O$78&lt;&gt;"",IF($L$7:$L$78&lt;&gt;"",ROW($L$7:$L$78)-MIN(ROW($L$7:$L$78))+1,""),""),ROW()-ROW(A$80)+1)),"##0"),","),"")</f>
        <v/>
      </c>
      <c r="M151" t="str">
        <f t="array" ref="M151">IFERROR(CONCATENATE((INDEX($O$7:$O$78,SMALL(IF($O$7:$O$78&lt;&gt;"",IF($L$7:$L$78&lt;&gt;"",ROW($L$7:$L$78)-MIN(ROW($L$7:$L$78))+1,""),""),ROW()-ROW(A$80)+1))),","),"")</f>
        <v/>
      </c>
      <c r="N151" t="str">
        <f t="array" ref="N151">IFERROR(CONCATENATE((INDEX($A$7:$A$78,SMALL(IF($O$7:$O$78&lt;&gt;"",IF($L$7:$L$78&lt;&gt;"",ROW($L$7:$L$78)-MIN(ROW($L$7:$L$78))+1,""),""),ROW()-ROW(A$80)+1))),),"")</f>
        <v/>
      </c>
      <c r="R151" t="str">
        <f t="array" ref="R151">IFERROR(CONCATENATE((INDEX($U$7:$U$78,SMALL(IF($U$7:$U$78&lt;&gt;"",IF($R$7:$R$78&lt;&gt;"",ROW($R$7:$R$78)-MIN(ROW($R$7:$R$78))+1,""),""),ROW()-ROW(A$80)+1)))," "),"")</f>
        <v/>
      </c>
      <c r="S151" t="str">
        <f t="array" ref="S151">IFERROR(CONCATENATE(TEXT(INDEX($R$7:$R$78,SMALL(IF($U$7:$U$78&lt;&gt;"",IF($R$7:$R$78&lt;&gt;"",ROW($R$7:$R$78)-MIN(ROW($R$7:$R$78))+1,""),""),ROW()-ROW(A$80)+1)),"##0")," "),"")</f>
        <v/>
      </c>
      <c r="T151" t="str">
        <f t="array" ref="T151">IFERROR(CONCATENATE((INDEX($A$7:$A$78,SMALL(IF($U$7:$U$78&lt;&gt;"",IF($R$7:$R$78&lt;&gt;"",ROW($R$7:$R$78)-MIN(ROW($R$7:$R$78))+1,""),""),ROW()-ROW(A$80)+1))),),"")</f>
        <v/>
      </c>
    </row>
  </sheetData>
  <mergeCells count="3">
    <mergeCell ref="A5:J5"/>
    <mergeCell ref="K5:P5"/>
    <mergeCell ref="Q5:V5"/>
  </mergeCells>
  <conditionalFormatting sqref="M10">
    <cfRule type="cellIs" dxfId="147" priority="3" operator="lessThanOrEqual">
      <formula>H10</formula>
    </cfRule>
  </conditionalFormatting>
  <conditionalFormatting sqref="M11">
    <cfRule type="cellIs" dxfId="146" priority="5" operator="lessThanOrEqual">
      <formula>H11</formula>
    </cfRule>
  </conditionalFormatting>
  <conditionalFormatting sqref="M12">
    <cfRule type="cellIs" dxfId="145" priority="7" operator="lessThanOrEqual">
      <formula>H12</formula>
    </cfRule>
  </conditionalFormatting>
  <conditionalFormatting sqref="M13">
    <cfRule type="cellIs" dxfId="144" priority="9" operator="lessThanOrEqual">
      <formula>H13</formula>
    </cfRule>
  </conditionalFormatting>
  <conditionalFormatting sqref="M14">
    <cfRule type="cellIs" dxfId="143" priority="11" operator="lessThanOrEqual">
      <formula>H14</formula>
    </cfRule>
  </conditionalFormatting>
  <conditionalFormatting sqref="M16">
    <cfRule type="cellIs" dxfId="142" priority="13" operator="lessThanOrEqual">
      <formula>H16</formula>
    </cfRule>
  </conditionalFormatting>
  <conditionalFormatting sqref="M17">
    <cfRule type="cellIs" dxfId="141" priority="15" operator="lessThanOrEqual">
      <formula>H17</formula>
    </cfRule>
  </conditionalFormatting>
  <conditionalFormatting sqref="M18">
    <cfRule type="cellIs" dxfId="140" priority="17" operator="lessThanOrEqual">
      <formula>H18</formula>
    </cfRule>
  </conditionalFormatting>
  <conditionalFormatting sqref="M19">
    <cfRule type="cellIs" dxfId="139" priority="19" operator="lessThanOrEqual">
      <formula>H19</formula>
    </cfRule>
  </conditionalFormatting>
  <conditionalFormatting sqref="M20">
    <cfRule type="cellIs" dxfId="138" priority="21" operator="lessThanOrEqual">
      <formula>H20</formula>
    </cfRule>
  </conditionalFormatting>
  <conditionalFormatting sqref="M21">
    <cfRule type="cellIs" dxfId="137" priority="23" operator="lessThanOrEqual">
      <formula>H21</formula>
    </cfRule>
  </conditionalFormatting>
  <conditionalFormatting sqref="M22">
    <cfRule type="cellIs" dxfId="136" priority="25" operator="lessThanOrEqual">
      <formula>H22</formula>
    </cfRule>
  </conditionalFormatting>
  <conditionalFormatting sqref="M23">
    <cfRule type="cellIs" dxfId="135" priority="27" operator="lessThanOrEqual">
      <formula>H23</formula>
    </cfRule>
  </conditionalFormatting>
  <conditionalFormatting sqref="M25">
    <cfRule type="cellIs" dxfId="134" priority="29" operator="lessThanOrEqual">
      <formula>H25</formula>
    </cfRule>
  </conditionalFormatting>
  <conditionalFormatting sqref="M26">
    <cfRule type="cellIs" dxfId="133" priority="31" operator="lessThanOrEqual">
      <formula>H26</formula>
    </cfRule>
  </conditionalFormatting>
  <conditionalFormatting sqref="M27">
    <cfRule type="cellIs" dxfId="132" priority="33" operator="lessThanOrEqual">
      <formula>H27</formula>
    </cfRule>
  </conditionalFormatting>
  <conditionalFormatting sqref="M29">
    <cfRule type="cellIs" dxfId="131" priority="35" operator="lessThanOrEqual">
      <formula>H29</formula>
    </cfRule>
  </conditionalFormatting>
  <conditionalFormatting sqref="M30">
    <cfRule type="cellIs" dxfId="130" priority="37" operator="lessThanOrEqual">
      <formula>H30</formula>
    </cfRule>
  </conditionalFormatting>
  <conditionalFormatting sqref="M31">
    <cfRule type="cellIs" dxfId="129" priority="39" operator="lessThanOrEqual">
      <formula>H31</formula>
    </cfRule>
  </conditionalFormatting>
  <conditionalFormatting sqref="M33">
    <cfRule type="cellIs" dxfId="128" priority="41" operator="lessThanOrEqual">
      <formula>H33</formula>
    </cfRule>
  </conditionalFormatting>
  <conditionalFormatting sqref="M34">
    <cfRule type="cellIs" dxfId="127" priority="43" operator="lessThanOrEqual">
      <formula>H34</formula>
    </cfRule>
  </conditionalFormatting>
  <conditionalFormatting sqref="M36">
    <cfRule type="cellIs" dxfId="126" priority="45" operator="lessThanOrEqual">
      <formula>H36</formula>
    </cfRule>
  </conditionalFormatting>
  <conditionalFormatting sqref="M37">
    <cfRule type="cellIs" dxfId="125" priority="47" operator="lessThanOrEqual">
      <formula>H37</formula>
    </cfRule>
  </conditionalFormatting>
  <conditionalFormatting sqref="M38">
    <cfRule type="cellIs" dxfId="124" priority="49" operator="lessThanOrEqual">
      <formula>H38</formula>
    </cfRule>
  </conditionalFormatting>
  <conditionalFormatting sqref="M40">
    <cfRule type="cellIs" dxfId="123" priority="51" operator="lessThanOrEqual">
      <formula>H40</formula>
    </cfRule>
  </conditionalFormatting>
  <conditionalFormatting sqref="M41">
    <cfRule type="cellIs" dxfId="122" priority="53" operator="lessThanOrEqual">
      <formula>H41</formula>
    </cfRule>
  </conditionalFormatting>
  <conditionalFormatting sqref="M42">
    <cfRule type="cellIs" dxfId="121" priority="55" operator="lessThanOrEqual">
      <formula>H42</formula>
    </cfRule>
  </conditionalFormatting>
  <conditionalFormatting sqref="M43">
    <cfRule type="cellIs" dxfId="120" priority="57" operator="lessThanOrEqual">
      <formula>H43</formula>
    </cfRule>
  </conditionalFormatting>
  <conditionalFormatting sqref="M44">
    <cfRule type="cellIs" dxfId="119" priority="59" operator="lessThanOrEqual">
      <formula>H44</formula>
    </cfRule>
  </conditionalFormatting>
  <conditionalFormatting sqref="M45">
    <cfRule type="cellIs" dxfId="118" priority="61" operator="lessThanOrEqual">
      <formula>H45</formula>
    </cfRule>
  </conditionalFormatting>
  <conditionalFormatting sqref="M46">
    <cfRule type="cellIs" dxfId="117" priority="63" operator="lessThanOrEqual">
      <formula>H46</formula>
    </cfRule>
  </conditionalFormatting>
  <conditionalFormatting sqref="M50">
    <cfRule type="cellIs" dxfId="116" priority="65" operator="lessThanOrEqual">
      <formula>H50</formula>
    </cfRule>
  </conditionalFormatting>
  <conditionalFormatting sqref="M51">
    <cfRule type="cellIs" dxfId="115" priority="67" operator="lessThanOrEqual">
      <formula>H51</formula>
    </cfRule>
  </conditionalFormatting>
  <conditionalFormatting sqref="M52">
    <cfRule type="cellIs" dxfId="114" priority="69" operator="lessThanOrEqual">
      <formula>H52</formula>
    </cfRule>
  </conditionalFormatting>
  <conditionalFormatting sqref="M53">
    <cfRule type="cellIs" dxfId="113" priority="71" operator="lessThanOrEqual">
      <formula>H53</formula>
    </cfRule>
  </conditionalFormatting>
  <conditionalFormatting sqref="M54">
    <cfRule type="cellIs" dxfId="112" priority="73" operator="lessThanOrEqual">
      <formula>H54</formula>
    </cfRule>
  </conditionalFormatting>
  <conditionalFormatting sqref="M55">
    <cfRule type="cellIs" dxfId="111" priority="75" operator="lessThanOrEqual">
      <formula>H55</formula>
    </cfRule>
  </conditionalFormatting>
  <conditionalFormatting sqref="M56">
    <cfRule type="cellIs" dxfId="110" priority="77" operator="lessThanOrEqual">
      <formula>H56</formula>
    </cfRule>
  </conditionalFormatting>
  <conditionalFormatting sqref="M58">
    <cfRule type="cellIs" dxfId="109" priority="79" operator="lessThanOrEqual">
      <formula>H58</formula>
    </cfRule>
  </conditionalFormatting>
  <conditionalFormatting sqref="M59">
    <cfRule type="cellIs" dxfId="108" priority="81" operator="lessThanOrEqual">
      <formula>H59</formula>
    </cfRule>
  </conditionalFormatting>
  <conditionalFormatting sqref="M60">
    <cfRule type="cellIs" dxfId="107" priority="83" operator="lessThanOrEqual">
      <formula>H60</formula>
    </cfRule>
  </conditionalFormatting>
  <conditionalFormatting sqref="M61">
    <cfRule type="cellIs" dxfId="106" priority="85" operator="lessThanOrEqual">
      <formula>H61</formula>
    </cfRule>
  </conditionalFormatting>
  <conditionalFormatting sqref="M62">
    <cfRule type="cellIs" dxfId="105" priority="87" operator="lessThanOrEqual">
      <formula>H62</formula>
    </cfRule>
  </conditionalFormatting>
  <conditionalFormatting sqref="M63">
    <cfRule type="cellIs" dxfId="104" priority="89" operator="lessThanOrEqual">
      <formula>H63</formula>
    </cfRule>
  </conditionalFormatting>
  <conditionalFormatting sqref="M64">
    <cfRule type="cellIs" dxfId="103" priority="91" operator="lessThanOrEqual">
      <formula>H64</formula>
    </cfRule>
  </conditionalFormatting>
  <conditionalFormatting sqref="M65">
    <cfRule type="cellIs" dxfId="102" priority="93" operator="lessThanOrEqual">
      <formula>H65</formula>
    </cfRule>
  </conditionalFormatting>
  <conditionalFormatting sqref="M66">
    <cfRule type="cellIs" dxfId="101" priority="95" operator="lessThanOrEqual">
      <formula>H66</formula>
    </cfRule>
  </conditionalFormatting>
  <conditionalFormatting sqref="M67">
    <cfRule type="cellIs" dxfId="100" priority="97" operator="lessThanOrEqual">
      <formula>H67</formula>
    </cfRule>
  </conditionalFormatting>
  <conditionalFormatting sqref="M68">
    <cfRule type="cellIs" dxfId="99" priority="99" operator="lessThanOrEqual">
      <formula>H68</formula>
    </cfRule>
  </conditionalFormatting>
  <conditionalFormatting sqref="M70">
    <cfRule type="cellIs" dxfId="98" priority="101" operator="lessThanOrEqual">
      <formula>H70</formula>
    </cfRule>
  </conditionalFormatting>
  <conditionalFormatting sqref="M71">
    <cfRule type="cellIs" dxfId="97" priority="103" operator="lessThanOrEqual">
      <formula>H71</formula>
    </cfRule>
  </conditionalFormatting>
  <conditionalFormatting sqref="M72">
    <cfRule type="cellIs" dxfId="96" priority="105" operator="lessThanOrEqual">
      <formula>H72</formula>
    </cfRule>
  </conditionalFormatting>
  <conditionalFormatting sqref="M73">
    <cfRule type="cellIs" dxfId="95" priority="107" operator="lessThanOrEqual">
      <formula>H73</formula>
    </cfRule>
  </conditionalFormatting>
  <conditionalFormatting sqref="M74">
    <cfRule type="cellIs" dxfId="94" priority="109" operator="lessThanOrEqual">
      <formula>H74</formula>
    </cfRule>
  </conditionalFormatting>
  <conditionalFormatting sqref="M75">
    <cfRule type="cellIs" dxfId="93" priority="111" operator="lessThanOrEqual">
      <formula>H75</formula>
    </cfRule>
  </conditionalFormatting>
  <conditionalFormatting sqref="M76">
    <cfRule type="cellIs" dxfId="92" priority="113" operator="lessThanOrEqual">
      <formula>H76</formula>
    </cfRule>
  </conditionalFormatting>
  <conditionalFormatting sqref="M77">
    <cfRule type="cellIs" dxfId="91" priority="115" operator="lessThanOrEqual">
      <formula>H77</formula>
    </cfRule>
  </conditionalFormatting>
  <conditionalFormatting sqref="M78">
    <cfRule type="cellIs" dxfId="90" priority="117" operator="lessThanOrEqual">
      <formula>H78</formula>
    </cfRule>
  </conditionalFormatting>
  <conditionalFormatting sqref="M8">
    <cfRule type="cellIs" dxfId="89" priority="1" operator="lessThanOrEqual">
      <formula>H8</formula>
    </cfRule>
  </conditionalFormatting>
  <conditionalFormatting sqref="N10">
    <cfRule type="cellIs" dxfId="88" priority="4" operator="lessThanOrEqual">
      <formula>I10</formula>
    </cfRule>
  </conditionalFormatting>
  <conditionalFormatting sqref="N11">
    <cfRule type="cellIs" dxfId="87" priority="6" operator="lessThanOrEqual">
      <formula>I11</formula>
    </cfRule>
  </conditionalFormatting>
  <conditionalFormatting sqref="N12">
    <cfRule type="cellIs" dxfId="86" priority="8" operator="lessThanOrEqual">
      <formula>I12</formula>
    </cfRule>
  </conditionalFormatting>
  <conditionalFormatting sqref="N13">
    <cfRule type="cellIs" dxfId="85" priority="10" operator="lessThanOrEqual">
      <formula>I13</formula>
    </cfRule>
  </conditionalFormatting>
  <conditionalFormatting sqref="N14">
    <cfRule type="cellIs" dxfId="84" priority="12" operator="lessThanOrEqual">
      <formula>I14</formula>
    </cfRule>
  </conditionalFormatting>
  <conditionalFormatting sqref="N16">
    <cfRule type="cellIs" dxfId="83" priority="14" operator="lessThanOrEqual">
      <formula>I16</formula>
    </cfRule>
  </conditionalFormatting>
  <conditionalFormatting sqref="N17">
    <cfRule type="cellIs" dxfId="82" priority="16" operator="lessThanOrEqual">
      <formula>I17</formula>
    </cfRule>
  </conditionalFormatting>
  <conditionalFormatting sqref="N18">
    <cfRule type="cellIs" dxfId="81" priority="18" operator="lessThanOrEqual">
      <formula>I18</formula>
    </cfRule>
  </conditionalFormatting>
  <conditionalFormatting sqref="N19">
    <cfRule type="cellIs" dxfId="80" priority="20" operator="lessThanOrEqual">
      <formula>I19</formula>
    </cfRule>
  </conditionalFormatting>
  <conditionalFormatting sqref="N20">
    <cfRule type="cellIs" dxfId="79" priority="22" operator="lessThanOrEqual">
      <formula>I20</formula>
    </cfRule>
  </conditionalFormatting>
  <conditionalFormatting sqref="N21">
    <cfRule type="cellIs" dxfId="78" priority="24" operator="lessThanOrEqual">
      <formula>I21</formula>
    </cfRule>
  </conditionalFormatting>
  <conditionalFormatting sqref="N22">
    <cfRule type="cellIs" dxfId="77" priority="26" operator="lessThanOrEqual">
      <formula>I22</formula>
    </cfRule>
  </conditionalFormatting>
  <conditionalFormatting sqref="N23">
    <cfRule type="cellIs" dxfId="76" priority="28" operator="lessThanOrEqual">
      <formula>I23</formula>
    </cfRule>
  </conditionalFormatting>
  <conditionalFormatting sqref="N25">
    <cfRule type="cellIs" dxfId="75" priority="30" operator="lessThanOrEqual">
      <formula>I25</formula>
    </cfRule>
  </conditionalFormatting>
  <conditionalFormatting sqref="N26">
    <cfRule type="cellIs" dxfId="74" priority="32" operator="lessThanOrEqual">
      <formula>I26</formula>
    </cfRule>
  </conditionalFormatting>
  <conditionalFormatting sqref="N27">
    <cfRule type="cellIs" dxfId="73" priority="34" operator="lessThanOrEqual">
      <formula>I27</formula>
    </cfRule>
  </conditionalFormatting>
  <conditionalFormatting sqref="N29">
    <cfRule type="cellIs" dxfId="72" priority="36" operator="lessThanOrEqual">
      <formula>I29</formula>
    </cfRule>
  </conditionalFormatting>
  <conditionalFormatting sqref="N30">
    <cfRule type="cellIs" dxfId="71" priority="38" operator="lessThanOrEqual">
      <formula>I30</formula>
    </cfRule>
  </conditionalFormatting>
  <conditionalFormatting sqref="N31">
    <cfRule type="cellIs" dxfId="70" priority="40" operator="lessThanOrEqual">
      <formula>I31</formula>
    </cfRule>
  </conditionalFormatting>
  <conditionalFormatting sqref="N33">
    <cfRule type="cellIs" dxfId="69" priority="42" operator="lessThanOrEqual">
      <formula>I33</formula>
    </cfRule>
  </conditionalFormatting>
  <conditionalFormatting sqref="N34">
    <cfRule type="cellIs" dxfId="68" priority="44" operator="lessThanOrEqual">
      <formula>I34</formula>
    </cfRule>
  </conditionalFormatting>
  <conditionalFormatting sqref="N36">
    <cfRule type="cellIs" dxfId="67" priority="46" operator="lessThanOrEqual">
      <formula>I36</formula>
    </cfRule>
  </conditionalFormatting>
  <conditionalFormatting sqref="N37">
    <cfRule type="cellIs" dxfId="66" priority="48" operator="lessThanOrEqual">
      <formula>I37</formula>
    </cfRule>
  </conditionalFormatting>
  <conditionalFormatting sqref="N38">
    <cfRule type="cellIs" dxfId="65" priority="50" operator="lessThanOrEqual">
      <formula>I38</formula>
    </cfRule>
  </conditionalFormatting>
  <conditionalFormatting sqref="N40">
    <cfRule type="cellIs" dxfId="64" priority="52" operator="lessThanOrEqual">
      <formula>I40</formula>
    </cfRule>
  </conditionalFormatting>
  <conditionalFormatting sqref="N41">
    <cfRule type="cellIs" dxfId="63" priority="54" operator="lessThanOrEqual">
      <formula>I41</formula>
    </cfRule>
  </conditionalFormatting>
  <conditionalFormatting sqref="N42">
    <cfRule type="cellIs" dxfId="62" priority="56" operator="lessThanOrEqual">
      <formula>I42</formula>
    </cfRule>
  </conditionalFormatting>
  <conditionalFormatting sqref="N43">
    <cfRule type="cellIs" dxfId="61" priority="58" operator="lessThanOrEqual">
      <formula>I43</formula>
    </cfRule>
  </conditionalFormatting>
  <conditionalFormatting sqref="N44">
    <cfRule type="cellIs" dxfId="60" priority="60" operator="lessThanOrEqual">
      <formula>I44</formula>
    </cfRule>
  </conditionalFormatting>
  <conditionalFormatting sqref="N45">
    <cfRule type="cellIs" dxfId="59" priority="62" operator="lessThanOrEqual">
      <formula>I45</formula>
    </cfRule>
  </conditionalFormatting>
  <conditionalFormatting sqref="N46">
    <cfRule type="cellIs" dxfId="58" priority="64" operator="lessThanOrEqual">
      <formula>I46</formula>
    </cfRule>
  </conditionalFormatting>
  <conditionalFormatting sqref="N50">
    <cfRule type="cellIs" dxfId="57" priority="66" operator="lessThanOrEqual">
      <formula>I50</formula>
    </cfRule>
  </conditionalFormatting>
  <conditionalFormatting sqref="N51">
    <cfRule type="cellIs" dxfId="56" priority="68" operator="lessThanOrEqual">
      <formula>I51</formula>
    </cfRule>
  </conditionalFormatting>
  <conditionalFormatting sqref="N52">
    <cfRule type="cellIs" dxfId="55" priority="70" operator="lessThanOrEqual">
      <formula>I52</formula>
    </cfRule>
  </conditionalFormatting>
  <conditionalFormatting sqref="N53">
    <cfRule type="cellIs" dxfId="54" priority="72" operator="lessThanOrEqual">
      <formula>I53</formula>
    </cfRule>
  </conditionalFormatting>
  <conditionalFormatting sqref="N54">
    <cfRule type="cellIs" dxfId="53" priority="74" operator="lessThanOrEqual">
      <formula>I54</formula>
    </cfRule>
  </conditionalFormatting>
  <conditionalFormatting sqref="N55">
    <cfRule type="cellIs" dxfId="52" priority="76" operator="lessThanOrEqual">
      <formula>I55</formula>
    </cfRule>
  </conditionalFormatting>
  <conditionalFormatting sqref="N56">
    <cfRule type="cellIs" dxfId="51" priority="78" operator="lessThanOrEqual">
      <formula>I56</formula>
    </cfRule>
  </conditionalFormatting>
  <conditionalFormatting sqref="N58">
    <cfRule type="cellIs" dxfId="50" priority="80" operator="lessThanOrEqual">
      <formula>I58</formula>
    </cfRule>
  </conditionalFormatting>
  <conditionalFormatting sqref="N59">
    <cfRule type="cellIs" dxfId="49" priority="82" operator="lessThanOrEqual">
      <formula>I59</formula>
    </cfRule>
  </conditionalFormatting>
  <conditionalFormatting sqref="N60">
    <cfRule type="cellIs" dxfId="48" priority="84" operator="lessThanOrEqual">
      <formula>I60</formula>
    </cfRule>
  </conditionalFormatting>
  <conditionalFormatting sqref="N61">
    <cfRule type="cellIs" dxfId="47" priority="86" operator="lessThanOrEqual">
      <formula>I61</formula>
    </cfRule>
  </conditionalFormatting>
  <conditionalFormatting sqref="N62">
    <cfRule type="cellIs" dxfId="46" priority="88" operator="lessThanOrEqual">
      <formula>I62</formula>
    </cfRule>
  </conditionalFormatting>
  <conditionalFormatting sqref="N63">
    <cfRule type="cellIs" dxfId="45" priority="90" operator="lessThanOrEqual">
      <formula>I63</formula>
    </cfRule>
  </conditionalFormatting>
  <conditionalFormatting sqref="N64">
    <cfRule type="cellIs" dxfId="44" priority="92" operator="lessThanOrEqual">
      <formula>I64</formula>
    </cfRule>
  </conditionalFormatting>
  <conditionalFormatting sqref="N65">
    <cfRule type="cellIs" dxfId="43" priority="94" operator="lessThanOrEqual">
      <formula>I65</formula>
    </cfRule>
  </conditionalFormatting>
  <conditionalFormatting sqref="N66">
    <cfRule type="cellIs" dxfId="42" priority="96" operator="lessThanOrEqual">
      <formula>I66</formula>
    </cfRule>
  </conditionalFormatting>
  <conditionalFormatting sqref="N67">
    <cfRule type="cellIs" dxfId="41" priority="98" operator="lessThanOrEqual">
      <formula>I67</formula>
    </cfRule>
  </conditionalFormatting>
  <conditionalFormatting sqref="N68">
    <cfRule type="cellIs" dxfId="40" priority="100" operator="lessThanOrEqual">
      <formula>I68</formula>
    </cfRule>
  </conditionalFormatting>
  <conditionalFormatting sqref="N70">
    <cfRule type="cellIs" dxfId="39" priority="102" operator="lessThanOrEqual">
      <formula>I70</formula>
    </cfRule>
  </conditionalFormatting>
  <conditionalFormatting sqref="N71">
    <cfRule type="cellIs" dxfId="38" priority="104" operator="lessThanOrEqual">
      <formula>I71</formula>
    </cfRule>
  </conditionalFormatting>
  <conditionalFormatting sqref="N72">
    <cfRule type="cellIs" dxfId="37" priority="106" operator="lessThanOrEqual">
      <formula>I72</formula>
    </cfRule>
  </conditionalFormatting>
  <conditionalFormatting sqref="N73">
    <cfRule type="cellIs" dxfId="36" priority="108" operator="lessThanOrEqual">
      <formula>I73</formula>
    </cfRule>
  </conditionalFormatting>
  <conditionalFormatting sqref="N74">
    <cfRule type="cellIs" dxfId="35" priority="110" operator="lessThanOrEqual">
      <formula>I74</formula>
    </cfRule>
  </conditionalFormatting>
  <conditionalFormatting sqref="N75">
    <cfRule type="cellIs" dxfId="34" priority="112" operator="lessThanOrEqual">
      <formula>I75</formula>
    </cfRule>
  </conditionalFormatting>
  <conditionalFormatting sqref="N76">
    <cfRule type="cellIs" dxfId="33" priority="114" operator="lessThanOrEqual">
      <formula>I76</formula>
    </cfRule>
  </conditionalFormatting>
  <conditionalFormatting sqref="N77">
    <cfRule type="cellIs" dxfId="32" priority="116" operator="lessThanOrEqual">
      <formula>I77</formula>
    </cfRule>
  </conditionalFormatting>
  <conditionalFormatting sqref="N78">
    <cfRule type="cellIs" dxfId="31" priority="118" operator="lessThanOrEqual">
      <formula>I78</formula>
    </cfRule>
  </conditionalFormatting>
  <conditionalFormatting sqref="N8">
    <cfRule type="cellIs" dxfId="30" priority="2" operator="lessThanOrEqual">
      <formula>I8</formula>
    </cfRule>
  </conditionalFormatting>
  <conditionalFormatting sqref="S10">
    <cfRule type="cellIs" dxfId="29" priority="121" operator="lessThanOrEqual">
      <formula>H10</formula>
    </cfRule>
  </conditionalFormatting>
  <conditionalFormatting sqref="S11">
    <cfRule type="cellIs" dxfId="28" priority="123" operator="lessThanOrEqual">
      <formula>H11</formula>
    </cfRule>
  </conditionalFormatting>
  <conditionalFormatting sqref="S16">
    <cfRule type="cellIs" dxfId="27" priority="125" operator="lessThanOrEqual">
      <formula>H16</formula>
    </cfRule>
  </conditionalFormatting>
  <conditionalFormatting sqref="S18">
    <cfRule type="cellIs" dxfId="26" priority="127" operator="lessThanOrEqual">
      <formula>H18</formula>
    </cfRule>
  </conditionalFormatting>
  <conditionalFormatting sqref="S20">
    <cfRule type="cellIs" dxfId="25" priority="129" operator="lessThanOrEqual">
      <formula>H20</formula>
    </cfRule>
  </conditionalFormatting>
  <conditionalFormatting sqref="S22">
    <cfRule type="cellIs" dxfId="24" priority="131" operator="lessThanOrEqual">
      <formula>H22</formula>
    </cfRule>
  </conditionalFormatting>
  <conditionalFormatting sqref="S23">
    <cfRule type="cellIs" dxfId="23" priority="133" operator="lessThanOrEqual">
      <formula>H23</formula>
    </cfRule>
  </conditionalFormatting>
  <conditionalFormatting sqref="S25">
    <cfRule type="cellIs" dxfId="22" priority="135" operator="lessThanOrEqual">
      <formula>H25</formula>
    </cfRule>
  </conditionalFormatting>
  <conditionalFormatting sqref="S30">
    <cfRule type="cellIs" dxfId="21" priority="137" operator="lessThanOrEqual">
      <formula>H30</formula>
    </cfRule>
  </conditionalFormatting>
  <conditionalFormatting sqref="S36">
    <cfRule type="cellIs" dxfId="20" priority="139" operator="lessThanOrEqual">
      <formula>H36</formula>
    </cfRule>
  </conditionalFormatting>
  <conditionalFormatting sqref="S38">
    <cfRule type="cellIs" dxfId="19" priority="141" operator="lessThanOrEqual">
      <formula>H38</formula>
    </cfRule>
  </conditionalFormatting>
  <conditionalFormatting sqref="S41">
    <cfRule type="cellIs" dxfId="18" priority="143" operator="lessThanOrEqual">
      <formula>H41</formula>
    </cfRule>
  </conditionalFormatting>
  <conditionalFormatting sqref="S42">
    <cfRule type="cellIs" dxfId="17" priority="145" operator="lessThanOrEqual">
      <formula>H42</formula>
    </cfRule>
  </conditionalFormatting>
  <conditionalFormatting sqref="S43">
    <cfRule type="cellIs" dxfId="16" priority="147" operator="lessThanOrEqual">
      <formula>H43</formula>
    </cfRule>
  </conditionalFormatting>
  <conditionalFormatting sqref="S8">
    <cfRule type="cellIs" dxfId="15" priority="119" operator="lessThanOrEqual">
      <formula>H8</formula>
    </cfRule>
  </conditionalFormatting>
  <conditionalFormatting sqref="T10">
    <cfRule type="cellIs" dxfId="14" priority="122" operator="lessThanOrEqual">
      <formula>I10</formula>
    </cfRule>
  </conditionalFormatting>
  <conditionalFormatting sqref="T11">
    <cfRule type="cellIs" dxfId="13" priority="124" operator="lessThanOrEqual">
      <formula>I11</formula>
    </cfRule>
  </conditionalFormatting>
  <conditionalFormatting sqref="T16">
    <cfRule type="cellIs" dxfId="12" priority="126" operator="lessThanOrEqual">
      <formula>I16</formula>
    </cfRule>
  </conditionalFormatting>
  <conditionalFormatting sqref="T18">
    <cfRule type="cellIs" dxfId="11" priority="128" operator="lessThanOrEqual">
      <formula>I18</formula>
    </cfRule>
  </conditionalFormatting>
  <conditionalFormatting sqref="T20">
    <cfRule type="cellIs" dxfId="10" priority="130" operator="lessThanOrEqual">
      <formula>I20</formula>
    </cfRule>
  </conditionalFormatting>
  <conditionalFormatting sqref="T22">
    <cfRule type="cellIs" dxfId="9" priority="132" operator="lessThanOrEqual">
      <formula>I22</formula>
    </cfRule>
  </conditionalFormatting>
  <conditionalFormatting sqref="T23">
    <cfRule type="cellIs" dxfId="8" priority="134" operator="lessThanOrEqual">
      <formula>I23</formula>
    </cfRule>
  </conditionalFormatting>
  <conditionalFormatting sqref="T25">
    <cfRule type="cellIs" dxfId="7" priority="136" operator="lessThanOrEqual">
      <formula>I25</formula>
    </cfRule>
  </conditionalFormatting>
  <conditionalFormatting sqref="T30">
    <cfRule type="cellIs" dxfId="6" priority="138" operator="lessThanOrEqual">
      <formula>I30</formula>
    </cfRule>
  </conditionalFormatting>
  <conditionalFormatting sqref="T36">
    <cfRule type="cellIs" dxfId="5" priority="140" operator="lessThanOrEqual">
      <formula>I36</formula>
    </cfRule>
  </conditionalFormatting>
  <conditionalFormatting sqref="T38">
    <cfRule type="cellIs" dxfId="4" priority="142" operator="lessThanOrEqual">
      <formula>I38</formula>
    </cfRule>
  </conditionalFormatting>
  <conditionalFormatting sqref="T41">
    <cfRule type="cellIs" dxfId="3" priority="144" operator="lessThanOrEqual">
      <formula>I41</formula>
    </cfRule>
  </conditionalFormatting>
  <conditionalFormatting sqref="T42">
    <cfRule type="cellIs" dxfId="2" priority="146" operator="lessThanOrEqual">
      <formula>I42</formula>
    </cfRule>
  </conditionalFormatting>
  <conditionalFormatting sqref="T43">
    <cfRule type="cellIs" dxfId="1" priority="148" operator="lessThanOrEqual">
      <formula>I43</formula>
    </cfRule>
  </conditionalFormatting>
  <conditionalFormatting sqref="T8">
    <cfRule type="cellIs" dxfId="0" priority="120" operator="lessThanOrEqual">
      <formula>I8</formula>
    </cfRule>
  </conditionalFormatting>
  <hyperlinks>
    <hyperlink ref="P8" r:id="rId1"/>
    <hyperlink ref="V8" r:id="rId2"/>
    <hyperlink ref="P10" r:id="rId3"/>
    <hyperlink ref="V10" r:id="rId4"/>
    <hyperlink ref="P11" r:id="rId5"/>
    <hyperlink ref="V11" r:id="rId6"/>
    <hyperlink ref="P12" r:id="rId7"/>
    <hyperlink ref="P13" r:id="rId8"/>
    <hyperlink ref="P14" r:id="rId9"/>
    <hyperlink ref="P16" r:id="rId10"/>
    <hyperlink ref="V16" r:id="rId11"/>
    <hyperlink ref="P17" r:id="rId12"/>
    <hyperlink ref="P18" r:id="rId13"/>
    <hyperlink ref="V18" r:id="rId14"/>
    <hyperlink ref="P19" r:id="rId15"/>
    <hyperlink ref="P20" r:id="rId16"/>
    <hyperlink ref="V20" r:id="rId17"/>
    <hyperlink ref="P21" r:id="rId18"/>
    <hyperlink ref="P22" r:id="rId19"/>
    <hyperlink ref="V22" r:id="rId20"/>
    <hyperlink ref="P23" r:id="rId21"/>
    <hyperlink ref="V23" r:id="rId22"/>
    <hyperlink ref="P25" r:id="rId23"/>
    <hyperlink ref="V25" r:id="rId24"/>
    <hyperlink ref="P26" r:id="rId25"/>
    <hyperlink ref="P27" r:id="rId26"/>
    <hyperlink ref="P29" r:id="rId27"/>
    <hyperlink ref="P30" r:id="rId28"/>
    <hyperlink ref="V30" r:id="rId29"/>
    <hyperlink ref="P31" r:id="rId30"/>
    <hyperlink ref="P33" r:id="rId31"/>
    <hyperlink ref="P34" r:id="rId32"/>
    <hyperlink ref="P36" r:id="rId33"/>
    <hyperlink ref="V36" r:id="rId34"/>
    <hyperlink ref="P37" r:id="rId35"/>
    <hyperlink ref="P38" r:id="rId36"/>
    <hyperlink ref="V38" r:id="rId37"/>
    <hyperlink ref="P40" r:id="rId38"/>
    <hyperlink ref="P41" r:id="rId39"/>
    <hyperlink ref="V41" r:id="rId40"/>
    <hyperlink ref="P42" r:id="rId41"/>
    <hyperlink ref="V42" r:id="rId42"/>
    <hyperlink ref="P43" r:id="rId43"/>
    <hyperlink ref="V43" r:id="rId44"/>
    <hyperlink ref="P44" r:id="rId45"/>
    <hyperlink ref="P45" r:id="rId46"/>
    <hyperlink ref="P46" r:id="rId47"/>
    <hyperlink ref="P50" r:id="rId48"/>
    <hyperlink ref="P51" r:id="rId49"/>
    <hyperlink ref="P52" r:id="rId50"/>
    <hyperlink ref="P53" r:id="rId51"/>
    <hyperlink ref="P54" r:id="rId52"/>
    <hyperlink ref="P55" r:id="rId53"/>
    <hyperlink ref="P56" r:id="rId54"/>
    <hyperlink ref="P58" r:id="rId55"/>
    <hyperlink ref="P59" r:id="rId56"/>
    <hyperlink ref="P60" r:id="rId57"/>
    <hyperlink ref="P61" r:id="rId58"/>
    <hyperlink ref="P62" r:id="rId59"/>
    <hyperlink ref="P63" r:id="rId60"/>
    <hyperlink ref="P64" r:id="rId61"/>
    <hyperlink ref="P65" r:id="rId62"/>
    <hyperlink ref="P66" r:id="rId63"/>
    <hyperlink ref="P67" r:id="rId64"/>
    <hyperlink ref="P68" r:id="rId65"/>
    <hyperlink ref="P70" r:id="rId66"/>
    <hyperlink ref="P71" r:id="rId67"/>
    <hyperlink ref="P72" r:id="rId68"/>
    <hyperlink ref="P73" r:id="rId69"/>
    <hyperlink ref="P74" r:id="rId70"/>
    <hyperlink ref="P75" r:id="rId71"/>
    <hyperlink ref="P76" r:id="rId72"/>
    <hyperlink ref="P77" r:id="rId73"/>
    <hyperlink ref="P78" r:id="rId74"/>
  </hyperlinks>
  <pageMargins left="0.7" right="0.7" top="0.75" bottom="0.75" header="0.3" footer="0.3"/>
  <pageSetup orientation="portrait" horizontalDpi="4294967292" verticalDpi="4294967292"/>
  <legacyDrawing r:id="rId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power-board.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Cook</cp:lastModifiedBy>
  <dcterms:created xsi:type="dcterms:W3CDTF">2017-09-04T00:15:39Z</dcterms:created>
  <dcterms:modified xsi:type="dcterms:W3CDTF">2017-09-04T03:00:31Z</dcterms:modified>
</cp:coreProperties>
</file>