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-board. " sheetId="1" r:id="rId1"/>
  </sheets>
  <definedNames>
    <definedName name="BoardQty">'power-board. '!$I$1</definedName>
    <definedName name="digikey_part_data">'power-board. '!$J$5:$O$78</definedName>
    <definedName name="global_part_data">'power-board. '!$A$5:$I$78</definedName>
    <definedName name="mouser_part_data">'power-board. '!$P$5:$U$78</definedName>
    <definedName name="newark_part_data">'power-board. '!$V$5:$AA$78</definedName>
    <definedName name="TotalCost">'power-board.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<sst xmlns="http://schemas.openxmlformats.org/spreadsheetml/2006/main" count="572" uniqueCount="353">
  <si>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</si>
  <si>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</si>
  <si>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</si>
  <si>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</si>
  <si>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</si>
  <si>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</si>
  <si>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</si>
  <si>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</si>
  <si>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</si>
  <si>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</si>
  <si>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R303</t>
  </si>
  <si>
    <t>RC0805FR-07105KL</t>
  </si>
  <si>
    <t>Yageo</t>
  </si>
  <si>
    <t>Resistors_SMD:R_0805</t>
  </si>
  <si>
    <t>105k</t>
  </si>
  <si>
    <t>E301</t>
  </si>
  <si>
    <t>project:Spark_Gap_8mil</t>
  </si>
  <si>
    <t>SPARK_GAP</t>
  </si>
  <si>
    <t>U401</t>
  </si>
  <si>
    <t>TLV521DCKR</t>
  </si>
  <si>
    <t>Texas Instruments</t>
  </si>
  <si>
    <t>TO_SOT_Packages_SMD:SOT-353_SC-70-5</t>
  </si>
  <si>
    <t>TLV521</t>
  </si>
  <si>
    <t>U1101</t>
  </si>
  <si>
    <t>TPD2E001IDRLRQ1</t>
  </si>
  <si>
    <t>TO_SOT_Packages_SMD:SOT-553</t>
  </si>
  <si>
    <t>D301</t>
  </si>
  <si>
    <t>SK520TR</t>
  </si>
  <si>
    <t>SMC Diode Solutions</t>
  </si>
  <si>
    <t>Diodes_SMD:D_SMC_Standard</t>
  </si>
  <si>
    <t>5A</t>
  </si>
  <si>
    <t>R401</t>
  </si>
  <si>
    <t>RC0805FR-0710ML</t>
  </si>
  <si>
    <t>10M</t>
  </si>
  <si>
    <t>C501</t>
  </si>
  <si>
    <t>GRM188R71H103JA01D</t>
  </si>
  <si>
    <t>Murata Electronics</t>
  </si>
  <si>
    <t>Capacitors_SMD:C_0603</t>
  </si>
  <si>
    <t>10n</t>
  </si>
  <si>
    <t>U701</t>
  </si>
  <si>
    <t>AT30TS74-XM8M-B</t>
  </si>
  <si>
    <t>Microchip Technology</t>
  </si>
  <si>
    <t>Housings_SSOP:MSOP-8_3x3mm_Pitch0.65mm</t>
  </si>
  <si>
    <t>Main Reg</t>
  </si>
  <si>
    <t>C212</t>
  </si>
  <si>
    <t>GCM188R71C474KA55D</t>
  </si>
  <si>
    <t>0.47u</t>
  </si>
  <si>
    <t>D302</t>
  </si>
  <si>
    <t>824501361</t>
  </si>
  <si>
    <t>Wurth Electronics Inc.</t>
  </si>
  <si>
    <t>Diodes_SMD:D_SMA_Standard</t>
  </si>
  <si>
    <t>36V</t>
  </si>
  <si>
    <t>C607,C608</t>
  </si>
  <si>
    <t>500R15N270KV4T</t>
  </si>
  <si>
    <t>Johanson Dielectrics Inc.</t>
  </si>
  <si>
    <t>Capacitors_SMD:C_0805</t>
  </si>
  <si>
    <t>26p</t>
  </si>
  <si>
    <t>R403,R704-R706,R902</t>
  </si>
  <si>
    <t>Resistors_SMD:R_0603</t>
  </si>
  <si>
    <t>0</t>
  </si>
  <si>
    <t>R901</t>
  </si>
  <si>
    <t>J1002</t>
  </si>
  <si>
    <t>Pin_Headers:Pin_Header_Straight_1x04_Pitch2.54mm</t>
  </si>
  <si>
    <t>PB[0..3]</t>
  </si>
  <si>
    <t>J901-J905</t>
  </si>
  <si>
    <t>Connectors_Terminal_Blocks:TerminalBlock_Pheonix_PT-3.5mm_4pol</t>
  </si>
  <si>
    <t>CONN_01X04</t>
  </si>
  <si>
    <t>D201</t>
  </si>
  <si>
    <t>Diodes_SMD:D_SOD-123</t>
  </si>
  <si>
    <t>5.1V</t>
  </si>
  <si>
    <t>J1101</t>
  </si>
  <si>
    <t>10103594-0001LF</t>
  </si>
  <si>
    <t>Amphenol FCI</t>
  </si>
  <si>
    <t>Connectors:USB_Micro-B_10103594-0001LF</t>
  </si>
  <si>
    <t>USB_OTG</t>
  </si>
  <si>
    <t>R205</t>
  </si>
  <si>
    <t>RC0805FR-072K15L</t>
  </si>
  <si>
    <t>2.15k</t>
  </si>
  <si>
    <t>C302</t>
  </si>
  <si>
    <t>C</t>
  </si>
  <si>
    <t>FB1101</t>
  </si>
  <si>
    <t>MPZ2012S102AT000</t>
  </si>
  <si>
    <t>TDK</t>
  </si>
  <si>
    <t>Filter</t>
  </si>
  <si>
    <t>R503,R505</t>
  </si>
  <si>
    <t>R</t>
  </si>
  <si>
    <t>C802,C804</t>
  </si>
  <si>
    <t>CL21A106KOQNNNG</t>
  </si>
  <si>
    <t>Samsung</t>
  </si>
  <si>
    <t>10u</t>
  </si>
  <si>
    <t>C208-C210,C213</t>
  </si>
  <si>
    <t>TCJD337M006R0025</t>
  </si>
  <si>
    <t>AVX Corporation</t>
  </si>
  <si>
    <t>Capacitors_Tantalum_SMD:Tantalum_Case-V_EIA-7343-20_Hand</t>
  </si>
  <si>
    <t>330u</t>
  </si>
  <si>
    <t>C503</t>
  </si>
  <si>
    <t>CL21A475KQFNNNG</t>
  </si>
  <si>
    <t>4.7uF, 50V</t>
  </si>
  <si>
    <t>TP601</t>
  </si>
  <si>
    <t>Connectors:PINTST</t>
  </si>
  <si>
    <t>RESET</t>
  </si>
  <si>
    <t>R601,R603,R608-R615</t>
  </si>
  <si>
    <t>RC0603JR-0768RL</t>
  </si>
  <si>
    <t>68</t>
  </si>
  <si>
    <t>U601</t>
  </si>
  <si>
    <t>ATXMEGA32A4U-AU</t>
  </si>
  <si>
    <t>Housings_QFP:TQFP-44_10x10mm_Pitch0.8mm</t>
  </si>
  <si>
    <t>C403,C404,C504</t>
  </si>
  <si>
    <t>R204</t>
  </si>
  <si>
    <t>RC0805FR-0784K5L</t>
  </si>
  <si>
    <t>84.5k</t>
  </si>
  <si>
    <t>U901</t>
  </si>
  <si>
    <t>CD4504BM96</t>
  </si>
  <si>
    <t>Housings_SOIC:SOIC-16_3.9x9.9mm_Pitch1.27mm</t>
  </si>
  <si>
    <t>CD4504B</t>
  </si>
  <si>
    <t>H101-H104</t>
  </si>
  <si>
    <t>Mounting_Holes:MountingHole_3.2mm_M3_Pad</t>
  </si>
  <si>
    <t>M3</t>
  </si>
  <si>
    <t>R302,R501,R604,R605</t>
  </si>
  <si>
    <t>RC0603JR-07100KL</t>
  </si>
  <si>
    <t>100k</t>
  </si>
  <si>
    <t>C205,C206</t>
  </si>
  <si>
    <t>GCM188R71H473KA55D</t>
  </si>
  <si>
    <t>47n</t>
  </si>
  <si>
    <t>F301</t>
  </si>
  <si>
    <t>0603SFS450F/32-2</t>
  </si>
  <si>
    <t>Littelfuse</t>
  </si>
  <si>
    <t>Resistors_SMD:R_0603_HandSoldering</t>
  </si>
  <si>
    <t>4.5A</t>
  </si>
  <si>
    <t>U201</t>
  </si>
  <si>
    <t>LMZ23610TZE/NOPB</t>
  </si>
  <si>
    <t>project:TO-PMOD-11</t>
  </si>
  <si>
    <t>LMZ23610</t>
  </si>
  <si>
    <t>C601,C606</t>
  </si>
  <si>
    <t>J1001</t>
  </si>
  <si>
    <t>Pin_Headers:Pin_Header_Straight_1x03_Pitch2.54mm</t>
  </si>
  <si>
    <t>PA[5..7]</t>
  </si>
  <si>
    <t>C904,C906,C908,C910,C912</t>
  </si>
  <si>
    <t>J906</t>
  </si>
  <si>
    <t>Pin_Headers:Pin_Header_Straight_1x02_Pitch2.54mm</t>
  </si>
  <si>
    <t>PC[0..1]</t>
  </si>
  <si>
    <t>C505</t>
  </si>
  <si>
    <t>R203</t>
  </si>
  <si>
    <t>R606,R607</t>
  </si>
  <si>
    <t>RC0603JR-072K2L</t>
  </si>
  <si>
    <t>2.2k</t>
  </si>
  <si>
    <t>C201,C1102</t>
  </si>
  <si>
    <t>CL10B472KB8NNNC</t>
  </si>
  <si>
    <t>4.7n</t>
  </si>
  <si>
    <t>Q301</t>
  </si>
  <si>
    <t>PSMN019-100YLX</t>
  </si>
  <si>
    <t>Nexperia USA Inc.</t>
  </si>
  <si>
    <t>TO_SOT_Packages_SMD:SOT-669_LFPAK_ThermalVias-1</t>
  </si>
  <si>
    <t>Q_NMOS_SSSGD</t>
  </si>
  <si>
    <t>R1101</t>
  </si>
  <si>
    <t>RC0603JR-071ML</t>
  </si>
  <si>
    <t>1M</t>
  </si>
  <si>
    <t>C202-C204</t>
  </si>
  <si>
    <t>C3225X7S1H106M250AB</t>
  </si>
  <si>
    <t>TDK Corporation</t>
  </si>
  <si>
    <t>Capacitors_SMD:C_1210</t>
  </si>
  <si>
    <t>10uF</t>
  </si>
  <si>
    <t>C301</t>
  </si>
  <si>
    <t>ECA-1HM331</t>
  </si>
  <si>
    <t>Panasonic Electronic Components</t>
  </si>
  <si>
    <t>Capacitors_THT:CP_Radial_D10.0mm_P5.00mm</t>
  </si>
  <si>
    <t>330u, 50V</t>
  </si>
  <si>
    <t>C211,C401,C602-C605,C701,C901,C902,C1101</t>
  </si>
  <si>
    <t>GRM188R71H104KA93D</t>
  </si>
  <si>
    <t>0.1u</t>
  </si>
  <si>
    <t>J301</t>
  </si>
  <si>
    <t>Connectors_Terminal_Blocks:TerminalBlock_Pheonix_PT-3.5mm_2pol</t>
  </si>
  <si>
    <t>CONN_01X02</t>
  </si>
  <si>
    <t>R304</t>
  </si>
  <si>
    <t>RC0805FR-074K02L</t>
  </si>
  <si>
    <t>4.02k</t>
  </si>
  <si>
    <t>R622</t>
  </si>
  <si>
    <t>CRCW060310K0FKEA</t>
  </si>
  <si>
    <t>Vishay</t>
  </si>
  <si>
    <t>10k</t>
  </si>
  <si>
    <t>U501</t>
  </si>
  <si>
    <t>TPS7A6633QDGNRQ1</t>
  </si>
  <si>
    <t>Housings_SSOP:MSOP-8-1EP_3x3mm_Pitch0.65mm</t>
  </si>
  <si>
    <t>3.3v</t>
  </si>
  <si>
    <t>R101</t>
  </si>
  <si>
    <t>Y601</t>
  </si>
  <si>
    <t>ABM3-16.000MHZ-B2-T</t>
  </si>
  <si>
    <t>Abracon</t>
  </si>
  <si>
    <t>Crystals:Crystal_SMD_Abracon_ABM3-2pin_5.0x3.2mm_HandSoldering</t>
  </si>
  <si>
    <t>16MHz</t>
  </si>
  <si>
    <t>R402</t>
  </si>
  <si>
    <t>RC0805FR-07316KL</t>
  </si>
  <si>
    <t>316k</t>
  </si>
  <si>
    <t>J1102</t>
  </si>
  <si>
    <t>Pin_Headers:Pin_Header_Straight_2x04_Pitch2.54mm</t>
  </si>
  <si>
    <t>CSHARE_IN</t>
  </si>
  <si>
    <t>FB601</t>
  </si>
  <si>
    <t>FB</t>
  </si>
  <si>
    <t>J1103</t>
  </si>
  <si>
    <t>CSHARE_OUT</t>
  </si>
  <si>
    <t>J601</t>
  </si>
  <si>
    <t>Connectors:Tag-Connect_TC2030-IDC-NL</t>
  </si>
  <si>
    <t>PDI</t>
  </si>
  <si>
    <t>R301</t>
  </si>
  <si>
    <t>RU3216FR010CS</t>
  </si>
  <si>
    <t>Resistors_SMD:R_1206</t>
  </si>
  <si>
    <t>10m</t>
  </si>
  <si>
    <t>C801,C803</t>
  </si>
  <si>
    <t>CL10B105KO8NNNC</t>
  </si>
  <si>
    <t>1u</t>
  </si>
  <si>
    <t>SW601</t>
  </si>
  <si>
    <t>EVP-BFAC1A000</t>
  </si>
  <si>
    <t>Buttons_Switches_SMD:SW_SPST_EVPBF</t>
  </si>
  <si>
    <t>C402</t>
  </si>
  <si>
    <t>U301</t>
  </si>
  <si>
    <t>RT1720GF</t>
  </si>
  <si>
    <t>Richtek USA Inc.</t>
  </si>
  <si>
    <t>Housings_SSOP:MSOP-10_3x3mm_Pitch0.5mm</t>
  </si>
  <si>
    <t>RT1720</t>
  </si>
  <si>
    <t>D501</t>
  </si>
  <si>
    <t>MMBD1204</t>
  </si>
  <si>
    <t>Fairchild/ON Semiconductor</t>
  </si>
  <si>
    <t>TO_SOT_Packages_SMD:SOT-23</t>
  </si>
  <si>
    <t>R602,R616-R621</t>
  </si>
  <si>
    <t>R201</t>
  </si>
  <si>
    <t>RC0805FR-071M91L</t>
  </si>
  <si>
    <t>1.91M</t>
  </si>
  <si>
    <t>J801</t>
  </si>
  <si>
    <t>N2510-6002RB</t>
  </si>
  <si>
    <t>3M Electronic Solutions Division</t>
  </si>
  <si>
    <t>Connectors:IDC_Header_Straight_10pins</t>
  </si>
  <si>
    <t>CONN_02X05</t>
  </si>
  <si>
    <t>C207</t>
  </si>
  <si>
    <t>JMK212BBJ476MG-T</t>
  </si>
  <si>
    <t>Taiyo Yuden</t>
  </si>
  <si>
    <t>47u</t>
  </si>
  <si>
    <t>C502</t>
  </si>
  <si>
    <t>R502,R504,R701-R703</t>
  </si>
  <si>
    <t>R202</t>
  </si>
  <si>
    <t>RC0805FR-0711K3L</t>
  </si>
  <si>
    <t>11.3k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</si>
  <si>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</si>
  <si>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</si>
  <si>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</si>
  <si>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</si>
  <si>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</si>
  <si>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</si>
  <si>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</si>
  <si>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</si>
  <si>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</si>
  <si>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311-105KCRCT-ND</t>
  </si>
  <si>
    <t>TLV521DCKR-ND</t>
  </si>
  <si>
    <t>296-29985-1-ND</t>
  </si>
  <si>
    <t>1655-1603-1-ND</t>
  </si>
  <si>
    <t>311-10.0MCRCT-ND</t>
  </si>
  <si>
    <t>490-9734-1-ND</t>
  </si>
  <si>
    <t>1611-AT30TS74-XM8M-B-ND</t>
  </si>
  <si>
    <t>490-4775-1-ND</t>
  </si>
  <si>
    <t>732-9957-1-ND</t>
  </si>
  <si>
    <t>709-1173-1-ND</t>
  </si>
  <si>
    <t>609-4050-1-ND</t>
  </si>
  <si>
    <t>311-2.15KCRCT-ND</t>
  </si>
  <si>
    <t>445-5223-1-ND</t>
  </si>
  <si>
    <t>1276-1096-1-ND</t>
  </si>
  <si>
    <t>478-9446-1-ND</t>
  </si>
  <si>
    <t>1276-6465-1-ND</t>
  </si>
  <si>
    <t>311-68GRCT-ND</t>
  </si>
  <si>
    <t>ATXMEGA32A4U-AU-ND</t>
  </si>
  <si>
    <t>311-84.5KCRCT-ND</t>
  </si>
  <si>
    <t>296-14150-1-ND</t>
  </si>
  <si>
    <t>311-100KGRCT-ND</t>
  </si>
  <si>
    <t>490-4934-1-ND</t>
  </si>
  <si>
    <t>0603SFS450F/32-2CT-ND</t>
  </si>
  <si>
    <t>296-40334-1-ND</t>
  </si>
  <si>
    <t>311-2.2KGRCT-ND</t>
  </si>
  <si>
    <t>1276-1098-1-ND</t>
  </si>
  <si>
    <t>1727-2592-1-ND</t>
  </si>
  <si>
    <t>311-1.0MGRCT-ND</t>
  </si>
  <si>
    <t>445-4537-1-ND</t>
  </si>
  <si>
    <t>P5184-ND</t>
  </si>
  <si>
    <t>490-1519-1-ND</t>
  </si>
  <si>
    <t>311-4.02KCRCT-ND</t>
  </si>
  <si>
    <t>541-10.0KHCT-ND</t>
  </si>
  <si>
    <t>296-39504-1-ND</t>
  </si>
  <si>
    <t>535-9103-1-ND</t>
  </si>
  <si>
    <t>311-316KCRCT-ND</t>
  </si>
  <si>
    <t>1276-6160-1-ND</t>
  </si>
  <si>
    <t>1276-1019-1-ND</t>
  </si>
  <si>
    <t>P19749CT-ND</t>
  </si>
  <si>
    <t>1028-1445-1-ND</t>
  </si>
  <si>
    <t>MMBD1204CT-ND</t>
  </si>
  <si>
    <t>311-1.91MCRCT-ND</t>
  </si>
  <si>
    <t>MHC10K-ND</t>
  </si>
  <si>
    <t>587-4280-1-ND</t>
  </si>
  <si>
    <t>311-11.3KCRCT-ND</t>
  </si>
  <si>
    <t>Mouser</t>
  </si>
  <si>
    <t>603-RC0805FR-07105KL</t>
  </si>
  <si>
    <t>595-TLV521DCKR</t>
  </si>
  <si>
    <t>595-TPD2E001IDRLRQ1</t>
  </si>
  <si>
    <t>603-RC0805FR-0710ML</t>
  </si>
  <si>
    <t>81-GRM18R71H103JA01D</t>
  </si>
  <si>
    <t>556-AT30TS74-XM8M-B</t>
  </si>
  <si>
    <t>81-GCM188R71C474KA5D</t>
  </si>
  <si>
    <t>710-824501361</t>
  </si>
  <si>
    <t>605-500R15N270KV4T</t>
  </si>
  <si>
    <t>649-10103594-0001LF</t>
  </si>
  <si>
    <t>603-RC0805FR-072K15L</t>
  </si>
  <si>
    <t>810-MPZ2012S102AT000</t>
  </si>
  <si>
    <t>581-TCJD337M006R0025</t>
  </si>
  <si>
    <t>556-ATXMEGA32A4U-AU</t>
  </si>
  <si>
    <t>603-RC0805FR-0784K5L</t>
  </si>
  <si>
    <t>603-RC0603JR-07100KL</t>
  </si>
  <si>
    <t>81-GCM188R71H473K55D</t>
  </si>
  <si>
    <t>650-0603SFS450F/32-2</t>
  </si>
  <si>
    <t>926-LMZ23610TZE/NOPB</t>
  </si>
  <si>
    <t>603-RC0603JR-072K2L</t>
  </si>
  <si>
    <t>771-PSMN019-100YLX</t>
  </si>
  <si>
    <t>603-RC0603JR-071ML</t>
  </si>
  <si>
    <t>Newark</t>
  </si>
  <si>
    <t>66R2909</t>
  </si>
  <si>
    <t>92Y0444</t>
  </si>
  <si>
    <t>58Y3904</t>
  </si>
  <si>
    <t>68X3186</t>
  </si>
  <si>
    <t>96Y9262</t>
  </si>
  <si>
    <t>45Y5163</t>
  </si>
  <si>
    <t>54W5254</t>
  </si>
  <si>
    <t>82R7407</t>
  </si>
  <si>
    <t>66R3028</t>
  </si>
  <si>
    <t>88T9831</t>
  </si>
  <si>
    <t>14AC5244</t>
  </si>
  <si>
    <t>68R0205</t>
  </si>
  <si>
    <t>68T3946</t>
  </si>
  <si>
    <t>66R3513</t>
  </si>
  <si>
    <t>83C6122</t>
  </si>
  <si>
    <t>68R0147</t>
  </si>
  <si>
    <t>45Y5169</t>
  </si>
  <si>
    <t>47T7409</t>
  </si>
  <si>
    <t>98K7303</t>
  </si>
  <si>
    <t>14AC1591</t>
  </si>
  <si>
    <t>68R0141</t>
  </si>
  <si>
    <t>90R7838</t>
  </si>
  <si>
    <t>17T5015</t>
  </si>
  <si>
    <t>38K1670</t>
  </si>
  <si>
    <t>66R3263</t>
  </si>
  <si>
    <t>52K8063</t>
  </si>
  <si>
    <t>24AC0586</t>
  </si>
  <si>
    <t>13J1720</t>
  </si>
  <si>
    <t>66R3213</t>
  </si>
  <si>
    <t>33AC0845</t>
  </si>
  <si>
    <t>38C7387</t>
  </si>
  <si>
    <t>18M6808</t>
  </si>
  <si>
    <t>88T9594</t>
  </si>
  <si>
    <t>66R2914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</si>
</sst>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0805FR-07105KL/311-105KCRCT-ND/730495" TargetMode="External"/><Relationship Id="rId2" Type="http://schemas.openxmlformats.org/officeDocument/2006/relationships/hyperlink" Target="http://www.mouser.com/Search/../ProductDetail/Yageo/RC0805FR-07105KL/?qs=sGAEpiMZZMu61qfTUdNhG92fxgWN7axftU0W8jCwEoE%3d" TargetMode="External"/><Relationship Id="rId3" Type="http://schemas.openxmlformats.org/officeDocument/2006/relationships/hyperlink" Target="http://www.newark.com/webapp/wcs/stores/servlet/Search?catalogId=15003&amp;langId=-1&amp;storeId=10194&amp;gs=true&amp;st=RC0805FR-07105KL%20Yageo" TargetMode="External"/><Relationship Id="rId4" Type="http://schemas.openxmlformats.org/officeDocument/2006/relationships/hyperlink" Target="http://www.digikey.com/scripts/DkSearch/dksus.dll?WT.z_header=search_go&amp;lang=en&amp;keywords=TLV521DCKR%20" TargetMode="External"/><Relationship Id="rId5" Type="http://schemas.openxmlformats.org/officeDocument/2006/relationships/hyperlink" Target="http://www.mouser.com/Search/../ProductDetail/Texas-Instruments/TLV521DCKR/?qs=sGAEpiMZZMtCHixnSjNA6DvVf8pse1th9zkQroXB8eQ%3d" TargetMode="External"/><Relationship Id="rId6" Type="http://schemas.openxmlformats.org/officeDocument/2006/relationships/hyperlink" Target="http://www.newark.com/webapp/wcs/stores/servlet/Search?catalogId=15003&amp;langId=-1&amp;storeId=10194&amp;gs=true&amp;st=TLV521DCKR%20" TargetMode="External"/><Relationship Id="rId7" Type="http://schemas.openxmlformats.org/officeDocument/2006/relationships/hyperlink" Target="http://www.digikey.com/product-detail/en/texas-instruments/TPD2E001IDRLRQ1/296-29985-1-ND/2791193" TargetMode="External"/><Relationship Id="rId8" Type="http://schemas.openxmlformats.org/officeDocument/2006/relationships/hyperlink" Target="http://www.mouser.com/Search/Refine.aspx?Keyword=TPD2E001IDRLRQ1%20" TargetMode="External"/><Relationship Id="rId9" Type="http://schemas.openxmlformats.org/officeDocument/2006/relationships/hyperlink" Target="http://www.newark.com/webapp/wcs/stores/servlet/Search?catalogId=15003&amp;langId=-1&amp;storeId=10194&amp;gs=true&amp;st=TPD2E001IDRLRQ1%20" TargetMode="External"/><Relationship Id="rId10" Type="http://schemas.openxmlformats.org/officeDocument/2006/relationships/hyperlink" Target="http://www.digikey.com/product-detail/en/smc-diode-solutions/SK520TR/1655-1603-1-ND/6023048" TargetMode="External"/><Relationship Id="rId11" Type="http://schemas.openxmlformats.org/officeDocument/2006/relationships/hyperlink" Target="http://www.digikey.com/product-detail/en/yageo/RC0805FR-0710ML/311-10.0MCRCT-ND/730483" TargetMode="External"/><Relationship Id="rId12" Type="http://schemas.openxmlformats.org/officeDocument/2006/relationships/hyperlink" Target="http://www.mouser.com/Search/Refine.aspx?Keyword=RC0805FR-0710ML%20Yageo" TargetMode="External"/><Relationship Id="rId13" Type="http://schemas.openxmlformats.org/officeDocument/2006/relationships/hyperlink" Target="http://www.newark.com/yageo-phycomp/rc0805fr-0710ml/surface-mount-thick-film-resistor/dp/68X3186" TargetMode="External"/><Relationship Id="rId14" Type="http://schemas.openxmlformats.org/officeDocument/2006/relationships/hyperlink" Target="http://www.digikey.com/product-detail/en/murata-electronics-north-america/GRM188R71H103JA01D/490-9734-1-ND/4934907" TargetMode="External"/><Relationship Id="rId15" Type="http://schemas.openxmlformats.org/officeDocument/2006/relationships/hyperlink" Target="http://www.mouser.com/Search/Refine.aspx?Keyword=GRM188R71H103JA01D%20" TargetMode="External"/><Relationship Id="rId16" Type="http://schemas.openxmlformats.org/officeDocument/2006/relationships/hyperlink" Target="http://www.newark.com/webapp/wcs/stores/servlet/Search?catalogId=15003&amp;langId=-1&amp;storeId=10194&amp;gs=true&amp;st=GRM188R71H103JA01D%20" TargetMode="External"/><Relationship Id="rId17" Type="http://schemas.openxmlformats.org/officeDocument/2006/relationships/hyperlink" Target="http://www.digikey.com/product-detail/en/microchip-technology/AT30TS74-XM8M-B/1611-AT30TS74-XM8M-B-ND/6829296" TargetMode="External"/><Relationship Id="rId18" Type="http://schemas.openxmlformats.org/officeDocument/2006/relationships/hyperlink" Target="http://www.mouser.com/Search/Refine.aspx?Keyword=AT30TS74-XM8M-B%20" TargetMode="External"/><Relationship Id="rId19" Type="http://schemas.openxmlformats.org/officeDocument/2006/relationships/hyperlink" Target="http://www.digikey.com/product-detail/en/murata-electronics-north-america/GCM188R71C474KA55D/490-4775-1-ND/1641694" TargetMode="External"/><Relationship Id="rId20" Type="http://schemas.openxmlformats.org/officeDocument/2006/relationships/hyperlink" Target="http://www.mouser.com/Search/Refine.aspx?Keyword=GCM188R71C474KA55D%20" TargetMode="External"/><Relationship Id="rId21" Type="http://schemas.openxmlformats.org/officeDocument/2006/relationships/hyperlink" Target="http://www.newark.com/murata/gcm188r71c474ka55d/multilayer-ceramic-capacitor-aec/dp/45Y5163" TargetMode="External"/><Relationship Id="rId22" Type="http://schemas.openxmlformats.org/officeDocument/2006/relationships/hyperlink" Target="http://www.digikey.com/product-detail/en/wurth-electronics-inc/824501361/732-9957-1-ND/5871110" TargetMode="External"/><Relationship Id="rId23" Type="http://schemas.openxmlformats.org/officeDocument/2006/relationships/hyperlink" Target="http://www.mouser.com/Search/Refine.aspx?Keyword=824501361%20" TargetMode="External"/><Relationship Id="rId24" Type="http://schemas.openxmlformats.org/officeDocument/2006/relationships/hyperlink" Target="http://www.digikey.com/product-detail/en/johanson-dielectrics-inc/500R15N270KV4T/709-1173-1-ND/1859505" TargetMode="External"/><Relationship Id="rId25" Type="http://schemas.openxmlformats.org/officeDocument/2006/relationships/hyperlink" Target="http://www.mouser.com/Search/Refine.aspx?Keyword=500R15N270KV4T%20" TargetMode="External"/><Relationship Id="rId26" Type="http://schemas.openxmlformats.org/officeDocument/2006/relationships/hyperlink" Target="http://www.newark.com/webapp/wcs/stores/servlet/Search?catalogId=15003&amp;langId=-1&amp;storeId=10194&amp;gs=true&amp;st=500R15N270KV4T%20" TargetMode="External"/><Relationship Id="rId27" Type="http://schemas.openxmlformats.org/officeDocument/2006/relationships/hyperlink" Target="http://www.digikey.com/product-detail/en/amphenol-fci/10103594-0001LF/609-4050-1-ND/2350357" TargetMode="External"/><Relationship Id="rId28" Type="http://schemas.openxmlformats.org/officeDocument/2006/relationships/hyperlink" Target="http://www.mouser.com/Search/Refine.aspx?Keyword=10103594-0001LF%20" TargetMode="External"/><Relationship Id="rId29" Type="http://schemas.openxmlformats.org/officeDocument/2006/relationships/hyperlink" Target="http://www.newark.com/amphenol-fci/10103594-0001lf/micro-usb-2-0-type-b-receptacle/dp/82R7407" TargetMode="External"/><Relationship Id="rId30" Type="http://schemas.openxmlformats.org/officeDocument/2006/relationships/hyperlink" Target="http://www.digikey.com/product-detail/en/yageo/RC0805FR-072K15L/311-2.15KCRCT-ND/730620" TargetMode="External"/><Relationship Id="rId31" Type="http://schemas.openxmlformats.org/officeDocument/2006/relationships/hyperlink" Target="http://www.mouser.com/Search/Refine.aspx?Keyword=RC0805FR-072K15L%20Yageo" TargetMode="External"/><Relationship Id="rId32" Type="http://schemas.openxmlformats.org/officeDocument/2006/relationships/hyperlink" Target="http://www.newark.com/webapp/wcs/stores/servlet/Search?catalogId=15003&amp;langId=-1&amp;storeId=10194&amp;gs=true&amp;st=RC0805FR-072K15L%20Yageo" TargetMode="External"/><Relationship Id="rId33" Type="http://schemas.openxmlformats.org/officeDocument/2006/relationships/hyperlink" Target="http://www.digikey.com/product-detail/en/tdk-corporation/MPZ2012S102AT000/445-5223-1-ND/2117957" TargetMode="External"/><Relationship Id="rId34" Type="http://schemas.openxmlformats.org/officeDocument/2006/relationships/hyperlink" Target="http://www.mouser.com/Search/../ProductDetail/TDK/MPZ2012S102AT000/?qs=sGAEpiMZZMtdyQheitOmRVsOQCodWkE0EgP8bImAOoA%3d" TargetMode="External"/><Relationship Id="rId35" Type="http://schemas.openxmlformats.org/officeDocument/2006/relationships/hyperlink" Target="http://www.newark.com/tdk/mpz2012s102at000/ferrite-bead-0-15ohm-1-5a-0805/dp/88T9831" TargetMode="External"/><Relationship Id="rId36" Type="http://schemas.openxmlformats.org/officeDocument/2006/relationships/hyperlink" Target="http://www.digikey.com/product-detail/en/samsung-electro-mechanics-america-inc/CL21A106KOQNNNE/1276-1096-1-ND/3889182" TargetMode="External"/><Relationship Id="rId37" Type="http://schemas.openxmlformats.org/officeDocument/2006/relationships/hyperlink" Target="http://www.digikey.com/product-detail/en/avx-corporation/TCJD337M006R0025/478-9446-1-ND/5001658" TargetMode="External"/><Relationship Id="rId38" Type="http://schemas.openxmlformats.org/officeDocument/2006/relationships/hyperlink" Target="http://www.mouser.com/Search/Refine.aspx?Keyword=TCJD337M006R0025%20" TargetMode="External"/><Relationship Id="rId39" Type="http://schemas.openxmlformats.org/officeDocument/2006/relationships/hyperlink" Target="http://www.newark.com/webapp/wcs/stores/servlet/Search?catalogId=15003&amp;langId=-1&amp;storeId=10194&amp;gs=true&amp;st=TCJD337M006R0025%20" TargetMode="External"/><Relationship Id="rId40" Type="http://schemas.openxmlformats.org/officeDocument/2006/relationships/hyperlink" Target="http://www.digikey.com/product-detail/en/samsung-electro-mechanics-america-inc/CL21A475KQFNNNG/1276-6465-1-ND/5958093" TargetMode="External"/><Relationship Id="rId41" Type="http://schemas.openxmlformats.org/officeDocument/2006/relationships/hyperlink" Target="http://www.digikey.com/product-detail/en/yageo/RC0603JR-0768RL/311-68GRCT-ND/729768" TargetMode="External"/><Relationship Id="rId42" Type="http://schemas.openxmlformats.org/officeDocument/2006/relationships/hyperlink" Target="http://www.newark.com/yageo/rc0603jr-0768rl/res-thick-film-68r-5-0-1w-0603/dp/68R0205" TargetMode="External"/><Relationship Id="rId43" Type="http://schemas.openxmlformats.org/officeDocument/2006/relationships/hyperlink" Target="http://www.digikey.com/product-detail/en/microchip-technology/ATXMEGA32A4U-AU/ATXMEGA32A4U-AU-ND/3046479" TargetMode="External"/><Relationship Id="rId44" Type="http://schemas.openxmlformats.org/officeDocument/2006/relationships/hyperlink" Target="http://www.mouser.com/Search/../ProductDetail/Microchip-Technology-Atmel/ATXMEGA32A4U-AU/?qs=sGAEpiMZZMvqv2n3s2xjsVQIURldyCCHkSSxd3wQs6I%3d" TargetMode="External"/><Relationship Id="rId45" Type="http://schemas.openxmlformats.org/officeDocument/2006/relationships/hyperlink" Target="http://www.newark.com/microchip/atxmega32a4u-au/microcontroller-mcu-8-bit-avr/dp/68T3946" TargetMode="External"/><Relationship Id="rId46" Type="http://schemas.openxmlformats.org/officeDocument/2006/relationships/hyperlink" Target="http://www.digikey.com/product-detail/en/yageo/RC0805FR-0784K5L/311-84.5KCRCT-ND/731120" TargetMode="External"/><Relationship Id="rId47" Type="http://schemas.openxmlformats.org/officeDocument/2006/relationships/hyperlink" Target="http://www.mouser.com/Search/../ProductDetail/Yageo/RC0805FR-0784K5L/?qs=sGAEpiMZZMu61qfTUdNhG6gKAQVNBKOoi%2fYZK04qye4%3d" TargetMode="External"/><Relationship Id="rId48" Type="http://schemas.openxmlformats.org/officeDocument/2006/relationships/hyperlink" Target="http://www.newark.com/webapp/wcs/stores/servlet/Search?catalogId=15003&amp;langId=-1&amp;storeId=10194&amp;gs=true&amp;st=RC0805FR-0784K5L%20Yageo" TargetMode="External"/><Relationship Id="rId49" Type="http://schemas.openxmlformats.org/officeDocument/2006/relationships/hyperlink" Target="http://www.digikey.com/product-detail/en/texas-instruments/CD4504BM96/296-14150-1-ND/525967" TargetMode="External"/><Relationship Id="rId50" Type="http://schemas.openxmlformats.org/officeDocument/2006/relationships/hyperlink" Target="http://www.newark.com/webapp/wcs/stores/servlet/Search?catalogId=15003&amp;langId=-1&amp;storeId=10194&amp;gs=true&amp;st=CD4504BM96%20" TargetMode="External"/><Relationship Id="rId51" Type="http://schemas.openxmlformats.org/officeDocument/2006/relationships/hyperlink" Target="http://www.digikey.com/product-detail/en/yageo/RC0603JR-07100KL/311-100KGRCT-ND/729645" TargetMode="External"/><Relationship Id="rId52" Type="http://schemas.openxmlformats.org/officeDocument/2006/relationships/hyperlink" Target="http://www.mouser.com/Search/Refine.aspx?Keyword=RC0603JR-07100KL%20Yageo" TargetMode="External"/><Relationship Id="rId53" Type="http://schemas.openxmlformats.org/officeDocument/2006/relationships/hyperlink" Target="http://www.newark.com/yageo/rc0603jr-07100kl/res-thick-film-100k-5-0-1w-0603/dp/68R0147" TargetMode="External"/><Relationship Id="rId54" Type="http://schemas.openxmlformats.org/officeDocument/2006/relationships/hyperlink" Target="http://www.digikey.com/product-detail/en/murata-electronics-north-america/GCM188R71H473KA55D/490-4934-1-ND/1765253" TargetMode="External"/><Relationship Id="rId55" Type="http://schemas.openxmlformats.org/officeDocument/2006/relationships/hyperlink" Target="http://www.mouser.com/Search/Refine.aspx?Keyword=GCM188R71H473KA55D%20" TargetMode="External"/><Relationship Id="rId56" Type="http://schemas.openxmlformats.org/officeDocument/2006/relationships/hyperlink" Target="http://www.newark.com/webapp/wcs/stores/servlet/Search?catalogId=15003&amp;langId=-1&amp;storeId=10194&amp;gs=true&amp;st=GCM188R71H473KA55D%20" TargetMode="External"/><Relationship Id="rId57" Type="http://schemas.openxmlformats.org/officeDocument/2006/relationships/hyperlink" Target="http://www.digikey.com/product-detail/en/littelfuse-inc/0603SFS450F-32-2/0603SFS450F-32-2CT-ND/2037159" TargetMode="External"/><Relationship Id="rId58" Type="http://schemas.openxmlformats.org/officeDocument/2006/relationships/hyperlink" Target="http://www.mouser.com/Search/Refine.aspx?Keyword=0603SFS450F%2F32-2%20" TargetMode="External"/><Relationship Id="rId59" Type="http://schemas.openxmlformats.org/officeDocument/2006/relationships/hyperlink" Target="http://www.digikey.com/product-detail/en/texas-instruments/LMZ23610TZE-NOPB/296-40334-1-ND/5178211" TargetMode="External"/><Relationship Id="rId60" Type="http://schemas.openxmlformats.org/officeDocument/2006/relationships/hyperlink" Target="http://www.mouser.com/Search/Refine.aspx?Keyword=LMZ23610TZE%2FNOPB%20" TargetMode="External"/><Relationship Id="rId61" Type="http://schemas.openxmlformats.org/officeDocument/2006/relationships/hyperlink" Target="http://www.newark.com/webapp/wcs/stores/servlet/Search?catalogId=15003&amp;langId=-1&amp;storeId=10194&amp;gs=true&amp;st=LMZ23610TZE%2FNOPB%20" TargetMode="External"/><Relationship Id="rId62" Type="http://schemas.openxmlformats.org/officeDocument/2006/relationships/hyperlink" Target="http://www.digikey.com/product-detail/en/samsung-electro-mechanics-america-inc/CL21A106KOQNNNE/1276-1096-1-ND/3889182" TargetMode="External"/><Relationship Id="rId63" Type="http://schemas.openxmlformats.org/officeDocument/2006/relationships/hyperlink" Target="http://www.digikey.com/product-detail/en/samsung-electro-mechanics-america-inc/CL21A106KOQNNNE/1276-1096-1-ND/3889182" TargetMode="External"/><Relationship Id="rId64" Type="http://schemas.openxmlformats.org/officeDocument/2006/relationships/hyperlink" Target="http://www.digikey.com/product-detail/en/yageo/RC0603JR-072K2L/311-2.2KGRCT-ND/729676" TargetMode="External"/><Relationship Id="rId65" Type="http://schemas.openxmlformats.org/officeDocument/2006/relationships/hyperlink" Target="http://www.mouser.com/Search/Refine.aspx?Keyword=RC0603JR-072K2L%20Yageo" TargetMode="External"/><Relationship Id="rId66" Type="http://schemas.openxmlformats.org/officeDocument/2006/relationships/hyperlink" Target="http://www.newark.com/webapp/wcs/stores/servlet/Search?catalogId=15003&amp;langId=-1&amp;storeId=10194&amp;gs=true&amp;st=RC0603JR-072K2L%20Yageo" TargetMode="External"/><Relationship Id="rId67" Type="http://schemas.openxmlformats.org/officeDocument/2006/relationships/hyperlink" Target="http://www.digikey.com/product-detail/en/samsung-electro-mechanics-america-inc/CL10B472KB8NNNC/1276-1098-1-ND/3889184" TargetMode="External"/><Relationship Id="rId68" Type="http://schemas.openxmlformats.org/officeDocument/2006/relationships/hyperlink" Target="http://www.digikey.com/product-detail/en/nexperia-usa-inc/PSMN019-100YLX/1727-2592-1-ND/6167603" TargetMode="External"/><Relationship Id="rId69" Type="http://schemas.openxmlformats.org/officeDocument/2006/relationships/hyperlink" Target="http://www.mouser.com/Search/Refine.aspx?Keyword=PSMN019-100YLX%20" TargetMode="External"/><Relationship Id="rId70" Type="http://schemas.openxmlformats.org/officeDocument/2006/relationships/hyperlink" Target="http://www.newark.com/webapp/wcs/stores/servlet/Search?catalogId=15003&amp;langId=-1&amp;storeId=10194&amp;gs=true&amp;st=PSMN019-100YLX%20" TargetMode="External"/><Relationship Id="rId71" Type="http://schemas.openxmlformats.org/officeDocument/2006/relationships/hyperlink" Target="http://www.digikey.com/product-detail/en/yageo/RC0603JR-071ML/311-1.0MGRCT-ND/729625" TargetMode="External"/><Relationship Id="rId72" Type="http://schemas.openxmlformats.org/officeDocument/2006/relationships/hyperlink" Target="http://www.mouser.com/Search/Refine.aspx?Keyword=RC0603JR-071ML%20Yageo" TargetMode="External"/><Relationship Id="rId73" Type="http://schemas.openxmlformats.org/officeDocument/2006/relationships/hyperlink" Target="http://www.newark.com/yageo/rc0603jr-071ml/res-thick-film-1m-5-0-1w-0603/dp/68R0141" TargetMode="External"/><Relationship Id="rId74" Type="http://schemas.openxmlformats.org/officeDocument/2006/relationships/hyperlink" Target="http://www.digikey.com/product-detail/en/tdk-corporation/C3225X7S1H106M250AB/445-4537-1-ND/2042333" TargetMode="External"/><Relationship Id="rId75" Type="http://schemas.openxmlformats.org/officeDocument/2006/relationships/hyperlink" Target="http://www.newark.com/tdk/c3225x7s1h106m250ab/ceramic-capacitor-10uf-50v-x7s/dp/90R7838" TargetMode="External"/><Relationship Id="rId76" Type="http://schemas.openxmlformats.org/officeDocument/2006/relationships/hyperlink" Target="http://www.digikey.com/product-detail/en/panasonic-electronic-components/ECA-1HM331/P5184-ND/245043" TargetMode="External"/><Relationship Id="rId77" Type="http://schemas.openxmlformats.org/officeDocument/2006/relationships/hyperlink" Target="http://www.newark.com/panasonic-electronic-components/eca-1hm331/aluminum-electrolytic-capacitor/dp/17T5015" TargetMode="External"/><Relationship Id="rId78" Type="http://schemas.openxmlformats.org/officeDocument/2006/relationships/hyperlink" Target="http://www.digikey.com/product-detail/en/murata-electronics-north-america/GRM188R71H104KA93D/490-1519-1-ND/587854" TargetMode="External"/><Relationship Id="rId79" Type="http://schemas.openxmlformats.org/officeDocument/2006/relationships/hyperlink" Target="http://www.newark.com/murata/grm188r71h104ka93d/ceramic-capacitor-0-1uf-50v-x7r/dp/38K1670" TargetMode="External"/><Relationship Id="rId80" Type="http://schemas.openxmlformats.org/officeDocument/2006/relationships/hyperlink" Target="http://www.digikey.com/product-detail/en/yageo/RC0805FR-074K02L/311-4.02KCRCT-ND/730854" TargetMode="External"/><Relationship Id="rId81" Type="http://schemas.openxmlformats.org/officeDocument/2006/relationships/hyperlink" Target="http://www.newark.com/webapp/wcs/stores/servlet/Search?catalogId=15003&amp;langId=-1&amp;storeId=10194&amp;gs=true&amp;st=RC0805FR-074K02L%20Yageo" TargetMode="External"/><Relationship Id="rId82" Type="http://schemas.openxmlformats.org/officeDocument/2006/relationships/hyperlink" Target="http://www.digikey.com/product-detail/en/vishay-dale/CRCW060310K0FKEA/541-10.0KHCT-ND/1179924" TargetMode="External"/><Relationship Id="rId83" Type="http://schemas.openxmlformats.org/officeDocument/2006/relationships/hyperlink" Target="http://www.newark.com/vishay/crcw060310k0fkea/res-thick-film-10k-1-0-1w-0603/dp/52K8063" TargetMode="External"/><Relationship Id="rId84" Type="http://schemas.openxmlformats.org/officeDocument/2006/relationships/hyperlink" Target="http://www.digikey.com/product-detail/en/texas-instruments/TPS7A6633QDGNRQ1/296-39504-1-ND/5143451" TargetMode="External"/><Relationship Id="rId85" Type="http://schemas.openxmlformats.org/officeDocument/2006/relationships/hyperlink" Target="http://www.newark.com/webapp/wcs/stores/servlet/Search?catalogId=15003&amp;langId=-1&amp;storeId=10194&amp;gs=true&amp;st=TPS7A6633QDGNRQ1%20" TargetMode="External"/><Relationship Id="rId86" Type="http://schemas.openxmlformats.org/officeDocument/2006/relationships/hyperlink" Target="http://www.digikey.com/product-detail/en/abracon-llc/ABM3-16.000MHZ-B2-T/535-9103-1-ND/675620" TargetMode="External"/><Relationship Id="rId87" Type="http://schemas.openxmlformats.org/officeDocument/2006/relationships/hyperlink" Target="http://www.newark.com/abracon/abm3-16-000mhz-b2-t/crystal-16mhz-18pf-5-x-3-2mm/dp/13J1720" TargetMode="External"/><Relationship Id="rId88" Type="http://schemas.openxmlformats.org/officeDocument/2006/relationships/hyperlink" Target="http://www.digikey.com/product-detail/en/yageo/RC0805FR-07316KL/311-316KCRCT-ND/730804" TargetMode="External"/><Relationship Id="rId89" Type="http://schemas.openxmlformats.org/officeDocument/2006/relationships/hyperlink" Target="http://www.newark.com/webapp/wcs/stores/servlet/Search?catalogId=15003&amp;langId=-1&amp;storeId=10194&amp;gs=true&amp;st=RC0805FR-07316KL%20Yageo" TargetMode="External"/><Relationship Id="rId90" Type="http://schemas.openxmlformats.org/officeDocument/2006/relationships/hyperlink" Target="http://www.digikey.com/product-detail/en/tdk-corporation/MPZ2012S102AT000/445-5223-1-ND/2117957" TargetMode="External"/><Relationship Id="rId91" Type="http://schemas.openxmlformats.org/officeDocument/2006/relationships/hyperlink" Target="http://www.newark.com/tdk/mpz2012s102at000/ferrite-bead-0-15ohm-1-5a-0805/dp/88T9831" TargetMode="External"/><Relationship Id="rId92" Type="http://schemas.openxmlformats.org/officeDocument/2006/relationships/hyperlink" Target="http://www.digikey.com/product-detail/en/samsung-electro-mechanics-america-inc/RU3216FR010CS/1276-6160-1-ND/3969132" TargetMode="External"/><Relationship Id="rId93" Type="http://schemas.openxmlformats.org/officeDocument/2006/relationships/hyperlink" Target="http://www.digikey.com/product-detail/en/samsung-electro-mechanics-america-inc/CL10B105KO8NNNC/1276-1019-1-ND/3889105" TargetMode="External"/><Relationship Id="rId94" Type="http://schemas.openxmlformats.org/officeDocument/2006/relationships/hyperlink" Target="http://www.digikey.com/product-detail/en/panasonic-electronic-components/EVP-BFAC1A000/P19749CT-ND/6125116" TargetMode="External"/><Relationship Id="rId95" Type="http://schemas.openxmlformats.org/officeDocument/2006/relationships/hyperlink" Target="http://www.digikey.com/product-detail/en/samsung-electro-mechanics-america-inc/CL10B105KO8NNNC/1276-1019-1-ND/3889105" TargetMode="External"/><Relationship Id="rId96" Type="http://schemas.openxmlformats.org/officeDocument/2006/relationships/hyperlink" Target="http://www.digikey.com/product-detail/en/richtek-usa-inc/RT1720GF/1028-1445-1-ND/6002785" TargetMode="External"/><Relationship Id="rId97" Type="http://schemas.openxmlformats.org/officeDocument/2006/relationships/hyperlink" Target="http://www.newark.com/webapp/wcs/stores/servlet/Search?catalogId=15003&amp;langId=-1&amp;storeId=10194&amp;gs=true&amp;st=RT1720GF%20" TargetMode="External"/><Relationship Id="rId98" Type="http://schemas.openxmlformats.org/officeDocument/2006/relationships/hyperlink" Target="http://www.digikey.com/product-detail/en/fairchild-on-semiconductor/MMBD1204/MMBD1204CT-ND/458963" TargetMode="External"/><Relationship Id="rId99" Type="http://schemas.openxmlformats.org/officeDocument/2006/relationships/hyperlink" Target="http://www.newark.com/fairchild-semiconductor/mmbd1204/small-signal-diode-100v-200ma/dp/38C7387" TargetMode="External"/><Relationship Id="rId100" Type="http://schemas.openxmlformats.org/officeDocument/2006/relationships/hyperlink" Target="http://www.digikey.com/product-detail/en/yageo/RC0603JR-0768RL/311-68GRCT-ND/729768" TargetMode="External"/><Relationship Id="rId101" Type="http://schemas.openxmlformats.org/officeDocument/2006/relationships/hyperlink" Target="http://www.newark.com/yageo/rc0603jr-0768rl/res-thick-film-68r-5-0-1w-0603/dp/68R0205" TargetMode="External"/><Relationship Id="rId102" Type="http://schemas.openxmlformats.org/officeDocument/2006/relationships/hyperlink" Target="http://www.digikey.com/product-detail/en/yageo/RC0805FR-071M91L/311-1.91MCRCT-ND/730477" TargetMode="External"/><Relationship Id="rId103" Type="http://schemas.openxmlformats.org/officeDocument/2006/relationships/hyperlink" Target="http://www.digikey.com/product-detail/en/3m/N2510-6002-RB/MHC10K-ND/755176" TargetMode="External"/><Relationship Id="rId104" Type="http://schemas.openxmlformats.org/officeDocument/2006/relationships/hyperlink" Target="http://www.newark.com/webapp/wcs/stores/servlet/Search?catalogId=15003&amp;langId=-1&amp;storeId=10194&amp;gs=true&amp;st=N2510-6002RB%20" TargetMode="External"/><Relationship Id="rId105" Type="http://schemas.openxmlformats.org/officeDocument/2006/relationships/hyperlink" Target="http://www.digikey.com/product-detail/en/taiyo-yuden/JMK212BBJ476MG-T/587-4280-1-ND/5344315" TargetMode="External"/><Relationship Id="rId106" Type="http://schemas.openxmlformats.org/officeDocument/2006/relationships/hyperlink" Target="http://www.newark.com/webapp/wcs/stores/servlet/Search?catalogId=15003&amp;langId=-1&amp;storeId=10194&amp;gs=true&amp;st=JMK212BBJ476MG-T%20" TargetMode="External"/><Relationship Id="rId107" Type="http://schemas.openxmlformats.org/officeDocument/2006/relationships/hyperlink" Target="http://www.digikey.com/product-detail/en/taiyo-yuden/JMK212BBJ476MG-T/587-4280-1-ND/5344315" TargetMode="External"/><Relationship Id="rId108" Type="http://schemas.openxmlformats.org/officeDocument/2006/relationships/hyperlink" Target="http://www.newark.com/webapp/wcs/stores/servlet/Search?catalogId=15003&amp;langId=-1&amp;storeId=10194&amp;gs=true&amp;st=JMK212BBJ476MG-T%20" TargetMode="External"/><Relationship Id="rId109" Type="http://schemas.openxmlformats.org/officeDocument/2006/relationships/hyperlink" Target="http://www.digikey.com/product-detail/en/yageo/RC0805FR-0711K3L/311-11.3KCRCT-ND/730501" TargetMode="External"/><Relationship Id="rId110" Type="http://schemas.openxmlformats.org/officeDocument/2006/relationships/hyperlink" Target="http://www.newark.com/webapp/wcs/stores/servlet/Search?catalogId=15003&amp;langId=-1&amp;storeId=10194&amp;gs=true&amp;st=RC0805FR-0711K3L%20Yageo" TargetMode="External"/><Relationship Id="rId111" Type="http://schemas.openxmlformats.org/officeDocument/2006/relationships/vmlDrawing" Target="../drawings/vmlDrawing1.vml"/><Relationship Id="rId11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241</v>
      </c>
      <c r="I1" s="2">
        <v>100</v>
      </c>
    </row>
    <row r="2" spans="1:27">
      <c r="H2" s="3" t="s">
        <v>242</v>
      </c>
      <c r="I2" s="4">
        <f>sum(I7:I78)</f>
        <v>0</v>
      </c>
      <c r="M2" s="4">
        <f>sum(M7:M78)</f>
        <v>0</v>
      </c>
      <c r="S2" s="4">
        <f>sum(S7:S78)</f>
        <v>0</v>
      </c>
      <c r="Y2" s="4">
        <f>sum(Y7:Y78)</f>
        <v>0</v>
      </c>
    </row>
    <row r="3" spans="1:27">
      <c r="H3" s="3" t="s">
        <v>243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244</v>
      </c>
      <c r="K5" s="7"/>
      <c r="L5" s="7"/>
      <c r="M5" s="7"/>
      <c r="N5" s="7"/>
      <c r="O5" s="7"/>
      <c r="P5" s="8" t="s">
        <v>295</v>
      </c>
      <c r="Q5" s="8"/>
      <c r="R5" s="8"/>
      <c r="S5" s="8"/>
      <c r="T5" s="8"/>
      <c r="U5" s="8"/>
      <c r="V5" s="9" t="s">
        <v>318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246</v>
      </c>
      <c r="K6" s="10" t="s">
        <v>247</v>
      </c>
      <c r="L6" s="10" t="s">
        <v>3</v>
      </c>
      <c r="M6" s="10" t="s">
        <v>2</v>
      </c>
      <c r="N6" s="10" t="s">
        <v>248</v>
      </c>
      <c r="O6" s="10" t="s">
        <v>245</v>
      </c>
      <c r="P6" s="10" t="s">
        <v>246</v>
      </c>
      <c r="Q6" s="10" t="s">
        <v>247</v>
      </c>
      <c r="R6" s="10" t="s">
        <v>3</v>
      </c>
      <c r="S6" s="10" t="s">
        <v>2</v>
      </c>
      <c r="T6" s="10" t="s">
        <v>248</v>
      </c>
      <c r="U6" s="10" t="s">
        <v>245</v>
      </c>
      <c r="V6" s="10" t="s">
        <v>246</v>
      </c>
      <c r="W6" s="10" t="s">
        <v>247</v>
      </c>
      <c r="X6" s="10" t="s">
        <v>3</v>
      </c>
      <c r="Y6" s="10" t="s">
        <v>2</v>
      </c>
      <c r="Z6" s="10" t="s">
        <v>248</v>
      </c>
      <c r="AA6" s="10" t="s">
        <v>245</v>
      </c>
    </row>
    <row r="7" spans="1:27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  <c r="J7">
        <v>150558</v>
      </c>
      <c r="L7" s="11">
        <f>iferror(lookup(if(K7="",G7,K7),{0,1,10,100,1000,2500,5000,10000,25000,50000,125000},{0.0,0.1,0.022,0.0088,0.00396,0.00344,0.00284,0.00247,0.00217,0.00199,0.00195}),"")</f>
        <v>0</v>
      </c>
      <c r="M7" s="11">
        <f>iferror(if(K7="",G7,K7)*L7,"")</f>
        <v>0</v>
      </c>
      <c r="N7" t="s">
        <v>250</v>
      </c>
      <c r="O7" s="12" t="s">
        <v>249</v>
      </c>
      <c r="P7">
        <v>15239</v>
      </c>
      <c r="R7" s="11">
        <f>iferror(lookup(if(Q7="",G7,Q7),{0,1,10,100,1000,5000,25000},{0.0,0.1,0.017,0.006,0.004,0.004,0.002}),"")</f>
        <v>0</v>
      </c>
      <c r="S7" s="11">
        <f>iferror(if(Q7="",G7,Q7)*R7,"")</f>
        <v>0</v>
      </c>
      <c r="T7" t="s">
        <v>296</v>
      </c>
      <c r="U7" s="12" t="s">
        <v>249</v>
      </c>
      <c r="X7" s="11">
        <f>iferror(lookup(if(W7="",G7,W7),{0,1,5000,10000,15000},{0.0,0.005,0.005,0.004,0.003}),"")</f>
        <v>0</v>
      </c>
      <c r="Y7" s="11">
        <f>iferror(if(W7="",G7,W7)*X7,"")</f>
        <v>0</v>
      </c>
      <c r="Z7" t="s">
        <v>319</v>
      </c>
      <c r="AA7" s="12" t="s">
        <v>249</v>
      </c>
    </row>
    <row r="8" spans="1:27">
      <c r="A8" t="s">
        <v>15</v>
      </c>
      <c r="B8" t="s">
        <v>17</v>
      </c>
      <c r="D8" t="s">
        <v>16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18</v>
      </c>
      <c r="B9" t="s">
        <v>22</v>
      </c>
      <c r="D9" t="s">
        <v>21</v>
      </c>
      <c r="E9" t="s">
        <v>20</v>
      </c>
      <c r="F9" t="s">
        <v>19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  <c r="L9" s="11">
        <f>iferror(lookup(if(K9="",G9,K9),{0,1,3000},{0.0,0.18445,0.18445}),"")</f>
        <v>0</v>
      </c>
      <c r="M9" s="11">
        <f>iferror(if(K9="",G9,K9)*L9,"")</f>
        <v>0</v>
      </c>
      <c r="N9" t="s">
        <v>251</v>
      </c>
      <c r="O9" s="12" t="s">
        <v>249</v>
      </c>
      <c r="P9">
        <v>56105</v>
      </c>
      <c r="R9" s="11">
        <f>iferror(lookup(if(Q9="",G9,Q9),{0,1,10,100,1000,3000,9000},{0.0,0.512,0.432,0.263,0.203,0.173,0.162}),"")</f>
        <v>0</v>
      </c>
      <c r="S9" s="11">
        <f>iferror(if(Q9="",G9,Q9)*R9,"")</f>
        <v>0</v>
      </c>
      <c r="T9" t="s">
        <v>297</v>
      </c>
      <c r="U9" s="12" t="s">
        <v>249</v>
      </c>
      <c r="X9" s="11">
        <f>iferror(lookup(if(W9="",G9,W9),{0,1,3000,5000},{0.0,0.282,0.282,0.256}),"")</f>
        <v>0</v>
      </c>
      <c r="Y9" s="11">
        <f>iferror(if(W9="",G9,W9)*X9,"")</f>
        <v>0</v>
      </c>
      <c r="Z9" t="s">
        <v>320</v>
      </c>
      <c r="AA9" s="12" t="s">
        <v>249</v>
      </c>
    </row>
    <row r="10" spans="1:27">
      <c r="A10" t="s">
        <v>23</v>
      </c>
      <c r="B10" t="s">
        <v>24</v>
      </c>
      <c r="D10" t="s">
        <v>25</v>
      </c>
      <c r="E10" t="s">
        <v>20</v>
      </c>
      <c r="F10" t="s">
        <v>24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  <c r="J10">
        <v>4979</v>
      </c>
      <c r="L10" s="11">
        <f>iferror(lookup(if(K10="",G10,K10),{0,1,10,100,500,1000,4000,8000,12000},{0.0,0.58,0.513,0.3935,0.31106,0.24885,0.21895,0.20385,0.1963}),"")</f>
        <v>0</v>
      </c>
      <c r="M10" s="11">
        <f>iferror(if(K10="",G10,K10)*L10,"")</f>
        <v>0</v>
      </c>
      <c r="N10" t="s">
        <v>252</v>
      </c>
      <c r="O10" s="12" t="s">
        <v>249</v>
      </c>
      <c r="P10">
        <v>9891</v>
      </c>
      <c r="R10" s="11">
        <f>iferror(lookup(if(Q10="",G10,Q10),{0,1,10,100,1000,2000,4000,8000,24000},{0.0,0.572,0.471,0.303,0.243,0.219,0.204,0.197,0.196}),"")</f>
        <v>0</v>
      </c>
      <c r="S10" s="11">
        <f>iferror(if(Q10="",G10,Q10)*R10,"")</f>
        <v>0</v>
      </c>
      <c r="T10" t="s">
        <v>298</v>
      </c>
      <c r="U10" s="12" t="s">
        <v>249</v>
      </c>
      <c r="X10" s="11">
        <f>iferror(lookup(if(W10="",G10,W10),{0,1,10,100,1000,2500,10000,25000,50000},{0.0,0.638,0.533,0.325,0.251,0.214,0.2,0.189,0.185}),"")</f>
        <v>0</v>
      </c>
      <c r="Y10" s="11">
        <f>iferror(if(W10="",G10,W10)*X10,"")</f>
        <v>0</v>
      </c>
      <c r="Z10" t="s">
        <v>321</v>
      </c>
      <c r="AA10" s="12" t="s">
        <v>249</v>
      </c>
    </row>
    <row r="11" spans="1:27">
      <c r="A11" t="s">
        <v>26</v>
      </c>
      <c r="B11" t="s">
        <v>30</v>
      </c>
      <c r="D11" t="s">
        <v>29</v>
      </c>
      <c r="E11" t="s">
        <v>28</v>
      </c>
      <c r="F11" t="s">
        <v>27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  <c r="J11">
        <v>1160</v>
      </c>
      <c r="L11" s="11">
        <f>iferror(lookup(if(K11="",G11,K11),{0,1,10,25,100,250,500,1000,3000,6000,15000,30000},{0.0,0.42,0.328,0.2764,0.2248,0.18628,0.15418,0.11563,0.11227,0.10603,0.09667,0.09044}),"")</f>
        <v>0</v>
      </c>
      <c r="M11" s="11">
        <f>iferror(if(K11="",G11,K11)*L11,"")</f>
        <v>0</v>
      </c>
      <c r="N11" t="s">
        <v>253</v>
      </c>
      <c r="O11" s="12" t="s">
        <v>249</v>
      </c>
    </row>
    <row r="12" spans="1:27">
      <c r="A12" t="s">
        <v>31</v>
      </c>
      <c r="B12" t="s">
        <v>33</v>
      </c>
      <c r="D12" t="s">
        <v>13</v>
      </c>
      <c r="E12" t="s">
        <v>12</v>
      </c>
      <c r="F12" t="s">
        <v>32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  <c r="J12">
        <v>309331</v>
      </c>
      <c r="L12" s="11">
        <f>iferror(lookup(if(K12="",G12,K12),{0,1,10,100,1000,2500,5000,10000,25000,50000,125000},{0.0,0.1,0.023,0.0095,0.00427,0.0037,0.00277,0.00241,0.00212,0.00194,0.0019}),"")</f>
        <v>0</v>
      </c>
      <c r="M12" s="11">
        <f>iferror(if(K12="",G12,K12)*L12,"")</f>
        <v>0</v>
      </c>
      <c r="N12" t="s">
        <v>254</v>
      </c>
      <c r="O12" s="12" t="s">
        <v>249</v>
      </c>
      <c r="P12">
        <v>71772</v>
      </c>
      <c r="R12" s="11">
        <f>iferror(lookup(if(Q12="",G12,Q12),{0,1,10,100,1000,5000},{0.0,0.1,0.015,0.005,0.004,0.002}),"")</f>
        <v>0</v>
      </c>
      <c r="S12" s="11">
        <f>iferror(if(Q12="",G12,Q12)*R12,"")</f>
        <v>0</v>
      </c>
      <c r="T12" t="s">
        <v>299</v>
      </c>
      <c r="U12" s="12" t="s">
        <v>249</v>
      </c>
      <c r="X12" s="11">
        <f>iferror(lookup(if(W12="",G12,W12),{0,1,5000,10000,25000},{0.0,0.003,0.003,0.002,0.002}),"")</f>
        <v>0</v>
      </c>
      <c r="Y12" s="11">
        <f>iferror(if(W12="",G12,W12)*X12,"")</f>
        <v>0</v>
      </c>
      <c r="Z12" t="s">
        <v>322</v>
      </c>
      <c r="AA12" s="12" t="s">
        <v>249</v>
      </c>
    </row>
    <row r="13" spans="1:27">
      <c r="A13" t="s">
        <v>34</v>
      </c>
      <c r="B13" t="s">
        <v>38</v>
      </c>
      <c r="D13" t="s">
        <v>37</v>
      </c>
      <c r="E13" t="s">
        <v>36</v>
      </c>
      <c r="F13" t="s">
        <v>35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  <c r="J13">
        <v>86578</v>
      </c>
      <c r="L13" s="11">
        <f>iferror(lookup(if(K13="",G13,K13),{0,1,10,100,500,1000,2500,4000,5000,8000,10000,12000,20000,30000},{0.0,0.1,0.065,0.0292,0.02082,0.01637,0.01488,0.01189,0.01369,0.01086,0.01086,0.01034,0.01034,0.00982}),"")</f>
        <v>0</v>
      </c>
      <c r="M13" s="11">
        <f>iferror(if(K13="",G13,K13)*L13,"")</f>
        <v>0</v>
      </c>
      <c r="N13" t="s">
        <v>255</v>
      </c>
      <c r="O13" s="12" t="s">
        <v>249</v>
      </c>
      <c r="P13">
        <v>245765</v>
      </c>
      <c r="R13" s="11">
        <f>iferror(lookup(if(Q13="",G13,Q13),{0,1,10,100,500,1000,4000,8000,24000,48000},{0.0,0.1,0.031,0.021,0.018,0.014,0.012,0.011,0.009,0.007}),"")</f>
        <v>0</v>
      </c>
      <c r="S13" s="11">
        <f>iferror(if(Q13="",G13,Q13)*R13,"")</f>
        <v>0</v>
      </c>
      <c r="T13" t="s">
        <v>300</v>
      </c>
      <c r="U13" s="12" t="s">
        <v>249</v>
      </c>
      <c r="X13" s="11">
        <f>iferror(lookup(if(W13="",G13,W13),{0,1,10,25,50,100,250,500,1000},{0.0,0.031,0.031,0.028,0.024,0.021,0.02,0.018,0.014}),"")</f>
        <v>0</v>
      </c>
      <c r="Y13" s="11">
        <f>iferror(if(W13="",G13,W13)*X13,"")</f>
        <v>0</v>
      </c>
      <c r="Z13" t="s">
        <v>323</v>
      </c>
      <c r="AA13" s="12" t="s">
        <v>249</v>
      </c>
    </row>
    <row r="14" spans="1:27">
      <c r="A14" t="s">
        <v>39</v>
      </c>
      <c r="B14" t="s">
        <v>43</v>
      </c>
      <c r="D14" t="s">
        <v>42</v>
      </c>
      <c r="E14" t="s">
        <v>41</v>
      </c>
      <c r="F14" t="s">
        <v>40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  <c r="J14">
        <v>2539</v>
      </c>
      <c r="L14" s="11">
        <f>iferror(lookup(if(K14="",G14,K14),{0,1,25,100,1176,5000},{0.0,0.56,0.406,0.371,0.59063,0.59063}),"")</f>
        <v>0</v>
      </c>
      <c r="M14" s="11">
        <f>iferror(if(K14="",G14,K14)*L14,"")</f>
        <v>0</v>
      </c>
      <c r="N14" t="s">
        <v>256</v>
      </c>
      <c r="O14" s="12" t="s">
        <v>249</v>
      </c>
      <c r="P14">
        <v>4896</v>
      </c>
      <c r="R14" s="11">
        <f>iferror(lookup(if(Q14="",G14,Q14),{0,1,25,100},{0.0,0.722,0.609,0.588}),"")</f>
        <v>0</v>
      </c>
      <c r="S14" s="11">
        <f>iferror(if(Q14="",G14,Q14)*R14,"")</f>
        <v>0</v>
      </c>
      <c r="T14" t="s">
        <v>301</v>
      </c>
      <c r="U14" s="12" t="s">
        <v>249</v>
      </c>
    </row>
    <row r="15" spans="1:27">
      <c r="A15" t="s">
        <v>44</v>
      </c>
      <c r="B15" t="s">
        <v>46</v>
      </c>
      <c r="D15" t="s">
        <v>37</v>
      </c>
      <c r="E15" t="s">
        <v>36</v>
      </c>
      <c r="F15" t="s">
        <v>45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  <c r="J15">
        <v>141742</v>
      </c>
      <c r="L15" s="11">
        <f>iferror(lookup(if(K15="",G15,K15),{0,1,10,100,500,1000,4000,8000,12000},{0.0,0.13,0.094,0.044,0.03086,0.02555,0.01892,0.0176,0.01672}),"")</f>
        <v>0</v>
      </c>
      <c r="M15" s="11">
        <f>iferror(if(K15="",G15,K15)*L15,"")</f>
        <v>0</v>
      </c>
      <c r="N15" t="s">
        <v>257</v>
      </c>
      <c r="O15" s="12" t="s">
        <v>249</v>
      </c>
      <c r="P15">
        <v>109629</v>
      </c>
      <c r="R15" s="11">
        <f>iferror(lookup(if(Q15="",G15,Q15),{0,1,10,100,500,1000,4000,8000},{0.0,0.151,0.104,0.05,0.035,0.03,0.021,0.019}),"")</f>
        <v>0</v>
      </c>
      <c r="S15" s="11">
        <f>iferror(if(Q15="",G15,Q15)*R15,"")</f>
        <v>0</v>
      </c>
      <c r="T15" t="s">
        <v>302</v>
      </c>
      <c r="U15" s="12" t="s">
        <v>249</v>
      </c>
      <c r="X15" s="11">
        <f>iferror(lookup(if(W15="",G15,W15),{0,1,10,100,500,1000},{0.0,0.094,0.094,0.044,0.03,0.025}),"")</f>
        <v>0</v>
      </c>
      <c r="Y15" s="11">
        <f>iferror(if(W15="",G15,W15)*X15,"")</f>
        <v>0</v>
      </c>
      <c r="Z15" t="s">
        <v>324</v>
      </c>
      <c r="AA15" s="12" t="s">
        <v>249</v>
      </c>
    </row>
    <row r="16" spans="1:27">
      <c r="A16" t="s">
        <v>47</v>
      </c>
      <c r="B16" t="s">
        <v>51</v>
      </c>
      <c r="D16" t="s">
        <v>50</v>
      </c>
      <c r="E16" t="s">
        <v>49</v>
      </c>
      <c r="F16" t="s">
        <v>48</v>
      </c>
      <c r="G16">
        <f>BoardQty*1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  <c r="J16">
        <v>911</v>
      </c>
      <c r="L16" s="11">
        <f>iferror(lookup(if(K16="",G16,K16),{0,1,10,100,500,1000},{0.0,0.27,0.252,0.2258,0.1974,0.168}),"")</f>
        <v>0</v>
      </c>
      <c r="M16" s="11">
        <f>iferror(if(K16="",G16,K16)*L16,"")</f>
        <v>0</v>
      </c>
      <c r="N16" t="s">
        <v>258</v>
      </c>
      <c r="O16" s="12" t="s">
        <v>249</v>
      </c>
      <c r="P16">
        <v>1948</v>
      </c>
      <c r="R16" s="11">
        <f>iferror(lookup(if(Q16="",G16,Q16),{0,1,10,50,250,500,1000},{0.0,0.295,0.268,0.241,0.21,0.179,0.179}),"")</f>
        <v>0</v>
      </c>
      <c r="S16" s="11">
        <f>iferror(if(Q16="",G16,Q16)*R16,"")</f>
        <v>0</v>
      </c>
      <c r="T16" t="s">
        <v>303</v>
      </c>
      <c r="U16" s="12" t="s">
        <v>249</v>
      </c>
    </row>
    <row r="17" spans="1:27">
      <c r="A17" t="s">
        <v>52</v>
      </c>
      <c r="B17" t="s">
        <v>56</v>
      </c>
      <c r="D17" t="s">
        <v>55</v>
      </c>
      <c r="E17" t="s">
        <v>54</v>
      </c>
      <c r="F17" t="s">
        <v>53</v>
      </c>
      <c r="G17">
        <f>BoardQty*2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  <c r="J17">
        <v>38486</v>
      </c>
      <c r="L17" s="11">
        <f>iferror(lookup(if(K17="",G17,K17),{0,1,10,100,500,1000,4000,8000,12000},{0.0,0.1,0.053,0.0236,0.01682,0.01322,0.00962,0.00878,0.00836}),"")</f>
        <v>0</v>
      </c>
      <c r="M17" s="11">
        <f>iferror(if(K17="",G17,K17)*L17,"")</f>
        <v>0</v>
      </c>
      <c r="N17" t="s">
        <v>259</v>
      </c>
      <c r="O17" s="12" t="s">
        <v>249</v>
      </c>
      <c r="P17">
        <v>20889</v>
      </c>
      <c r="R17" s="11">
        <f>iferror(lookup(if(Q17="",G17,Q17),{0,1,10,100,1000,4000,8000,24000,48000,100000},{0.0,0.1,0.032,0.017,0.011,0.009,0.008,0.007,0.006,0.005}),"")</f>
        <v>0</v>
      </c>
      <c r="S17" s="11">
        <f>iferror(if(Q17="",G17,Q17)*R17,"")</f>
        <v>0</v>
      </c>
      <c r="T17" t="s">
        <v>304</v>
      </c>
      <c r="U17" s="12" t="s">
        <v>249</v>
      </c>
      <c r="Z17" t="s">
        <v>325</v>
      </c>
      <c r="AA17" s="12" t="s">
        <v>249</v>
      </c>
    </row>
    <row r="18" spans="1:27">
      <c r="A18" t="s">
        <v>57</v>
      </c>
      <c r="B18" t="s">
        <v>59</v>
      </c>
      <c r="D18" t="s">
        <v>58</v>
      </c>
      <c r="G18">
        <f>BoardQty*5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</row>
    <row r="19" spans="1:27">
      <c r="A19" t="s">
        <v>60</v>
      </c>
      <c r="B19" t="s">
        <v>59</v>
      </c>
      <c r="D19" t="s">
        <v>58</v>
      </c>
      <c r="G19">
        <f>BoardQty*1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</row>
    <row r="20" spans="1:27">
      <c r="A20" t="s">
        <v>61</v>
      </c>
      <c r="B20" t="s">
        <v>63</v>
      </c>
      <c r="D20" t="s">
        <v>62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1" spans="1:27">
      <c r="A21" t="s">
        <v>64</v>
      </c>
      <c r="B21" t="s">
        <v>66</v>
      </c>
      <c r="D21" t="s">
        <v>65</v>
      </c>
      <c r="G21">
        <f>BoardQty*5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</row>
    <row r="22" spans="1:27">
      <c r="A22" t="s">
        <v>67</v>
      </c>
      <c r="B22" t="s">
        <v>69</v>
      </c>
      <c r="D22" t="s">
        <v>68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</row>
    <row r="23" spans="1:27">
      <c r="A23" t="s">
        <v>70</v>
      </c>
      <c r="B23" t="s">
        <v>74</v>
      </c>
      <c r="D23" t="s">
        <v>73</v>
      </c>
      <c r="E23" t="s">
        <v>72</v>
      </c>
      <c r="F23" t="s">
        <v>71</v>
      </c>
      <c r="G23">
        <f>BoardQty*1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  <c r="J23">
        <v>91142</v>
      </c>
      <c r="L23" s="11">
        <f>iferror(lookup(if(K23="",G23,K23),{0,1,10,25,50,100,250,500,1500,3000,7500,10500,15000},{0.0,0.73,0.683,0.6152,0.5468,0.524,0.4784,0.45562,0.33136,0.31065,0.30029,0.27958,0.27544}),"")</f>
        <v>0</v>
      </c>
      <c r="M23" s="11">
        <f>iferror(if(K23="",G23,K23)*L23,"")</f>
        <v>0</v>
      </c>
      <c r="N23" t="s">
        <v>260</v>
      </c>
      <c r="O23" s="12" t="s">
        <v>249</v>
      </c>
      <c r="P23">
        <v>59077</v>
      </c>
      <c r="R23" s="11">
        <f>iferror(lookup(if(Q23="",G23,Q23),{0,1,10,100,500,1500},{0.0,0.673,0.499,0.478,0.417,0.375}),"")</f>
        <v>0</v>
      </c>
      <c r="S23" s="11">
        <f>iferror(if(Q23="",G23,Q23)*R23,"")</f>
        <v>0</v>
      </c>
      <c r="T23" t="s">
        <v>305</v>
      </c>
      <c r="U23" s="12" t="s">
        <v>249</v>
      </c>
      <c r="X23" s="11">
        <f>iferror(lookup(if(W23="",G23,W23),{0,1,10,100,500,1000,2500,5000},{0.0,0.678,0.636,0.535,0.471,0.423,0.386,0.377}),"")</f>
        <v>0</v>
      </c>
      <c r="Y23" s="11">
        <f>iferror(if(W23="",G23,W23)*X23,"")</f>
        <v>0</v>
      </c>
      <c r="Z23" t="s">
        <v>326</v>
      </c>
      <c r="AA23" s="12" t="s">
        <v>249</v>
      </c>
    </row>
    <row r="24" spans="1:27">
      <c r="A24" t="s">
        <v>75</v>
      </c>
      <c r="B24" t="s">
        <v>77</v>
      </c>
      <c r="D24" t="s">
        <v>13</v>
      </c>
      <c r="E24" t="s">
        <v>12</v>
      </c>
      <c r="F24" t="s">
        <v>76</v>
      </c>
      <c r="G24">
        <f>BoardQty*1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  <c r="J24">
        <v>73222</v>
      </c>
      <c r="L24" s="11">
        <f>iferror(lookup(if(K24="",G24,K24),{0,1,10,100,1000,2500,5000,10000,25000,50000,125000},{0.0,0.1,0.022,0.0088,0.00396,0.00344,0.00284,0.00247,0.00217,0.00199,0.00195}),"")</f>
        <v>0</v>
      </c>
      <c r="M24" s="11">
        <f>iferror(if(K24="",G24,K24)*L24,"")</f>
        <v>0</v>
      </c>
      <c r="N24" t="s">
        <v>261</v>
      </c>
      <c r="O24" s="12" t="s">
        <v>249</v>
      </c>
      <c r="P24">
        <v>23898</v>
      </c>
      <c r="R24" s="11">
        <f>iferror(lookup(if(Q24="",G24,Q24),{0,1,10,100,1000,5000,25000},{0.0,0.1,0.017,0.006,0.004,0.004,0.002}),"")</f>
        <v>0</v>
      </c>
      <c r="S24" s="11">
        <f>iferror(if(Q24="",G24,Q24)*R24,"")</f>
        <v>0</v>
      </c>
      <c r="T24" t="s">
        <v>306</v>
      </c>
      <c r="U24" s="12" t="s">
        <v>249</v>
      </c>
      <c r="X24" s="11">
        <f>iferror(lookup(if(W24="",G24,W24),{0,1,5000,10000,15000},{0.0,0.005,0.005,0.004,0.003}),"")</f>
        <v>0</v>
      </c>
      <c r="Y24" s="11">
        <f>iferror(if(W24="",G24,W24)*X24,"")</f>
        <v>0</v>
      </c>
      <c r="Z24" t="s">
        <v>327</v>
      </c>
      <c r="AA24" s="12" t="s">
        <v>249</v>
      </c>
    </row>
    <row r="25" spans="1:27">
      <c r="A25" t="s">
        <v>78</v>
      </c>
      <c r="B25" t="s">
        <v>79</v>
      </c>
      <c r="D25" t="s">
        <v>55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</row>
    <row r="26" spans="1:27">
      <c r="A26" t="s">
        <v>80</v>
      </c>
      <c r="B26" t="s">
        <v>83</v>
      </c>
      <c r="D26" t="s">
        <v>13</v>
      </c>
      <c r="E26" t="s">
        <v>82</v>
      </c>
      <c r="F26" t="s">
        <v>81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  <c r="J26">
        <v>268519</v>
      </c>
      <c r="L26" s="11">
        <f>iferror(lookup(if(K26="",G26,K26),{0,1,10,25,50,100,250,500,1000,4000,8000,12000,28000,100000},{0.0,0.11,0.091,0.0704,0.0584,0.0503,0.04028,0.03624,0.0302,0.02745,0.02562,0.02379,0.02352,0.02288}),"")</f>
        <v>0</v>
      </c>
      <c r="M26" s="11">
        <f>iferror(if(K26="",G26,K26)*L26,"")</f>
        <v>0</v>
      </c>
      <c r="N26" t="s">
        <v>262</v>
      </c>
      <c r="O26" s="12" t="s">
        <v>249</v>
      </c>
      <c r="P26">
        <v>50026</v>
      </c>
      <c r="R26" s="11">
        <f>iferror(lookup(if(Q26="",G26,Q26),{0,1,10,100,500,1000,4000,8000},{0.0,0.12,0.101,0.048,0.038,0.032,0.027,0.025}),"")</f>
        <v>0</v>
      </c>
      <c r="S26" s="11">
        <f>iferror(if(Q26="",G26,Q26)*R26,"")</f>
        <v>0</v>
      </c>
      <c r="T26" t="s">
        <v>307</v>
      </c>
      <c r="U26" s="12" t="s">
        <v>249</v>
      </c>
      <c r="X26" s="11">
        <f>iferror(lookup(if(W26="",G26,W26),{0,1,25,50,100,250,500,1000},{0.0,0.12,0.101,0.079,0.057,0.048,0.038,0.032}),"")</f>
        <v>0</v>
      </c>
      <c r="Y26" s="11">
        <f>iferror(if(W26="",G26,W26)*X26,"")</f>
        <v>0</v>
      </c>
      <c r="Z26" t="s">
        <v>328</v>
      </c>
      <c r="AA26" s="12" t="s">
        <v>249</v>
      </c>
    </row>
    <row r="27" spans="1:27">
      <c r="A27" t="s">
        <v>84</v>
      </c>
      <c r="B27" t="s">
        <v>85</v>
      </c>
      <c r="D27" t="s">
        <v>13</v>
      </c>
      <c r="G27">
        <f>BoardQty*2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</row>
    <row r="28" spans="1:27">
      <c r="A28" t="s">
        <v>86</v>
      </c>
      <c r="B28" t="s">
        <v>89</v>
      </c>
      <c r="D28" t="s">
        <v>55</v>
      </c>
      <c r="E28" t="s">
        <v>88</v>
      </c>
      <c r="F28" t="s">
        <v>87</v>
      </c>
      <c r="G28">
        <f>BoardQty*2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  <c r="J28">
        <v>270027</v>
      </c>
      <c r="L28" s="11">
        <f>iferror(lookup(if(K28="",G28,K28),{0,1,10,100,500,1000,2000,3000,4000,6000,9000,10000},{0.0,0.2,0.136,0.069,0.0472,0.04175,0.03993,0.02396,0.0363,0.02192,0.02039,0.02039}),"")</f>
        <v>0</v>
      </c>
      <c r="M28" s="11">
        <f>iferror(if(K28="",G28,K28)*L28,"")</f>
        <v>0</v>
      </c>
      <c r="N28" t="s">
        <v>263</v>
      </c>
      <c r="O28" s="12" t="s">
        <v>249</v>
      </c>
    </row>
    <row r="29" spans="1:27">
      <c r="A29" t="s">
        <v>90</v>
      </c>
      <c r="B29" t="s">
        <v>94</v>
      </c>
      <c r="D29" t="s">
        <v>93</v>
      </c>
      <c r="E29" t="s">
        <v>92</v>
      </c>
      <c r="F29" t="s">
        <v>91</v>
      </c>
      <c r="G29">
        <f>BoardQty*4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  <c r="J29">
        <v>697</v>
      </c>
      <c r="L29" s="11">
        <f>iferror(lookup(if(K29="",G29,K29),{0,1,10,100,500,1000,2500,5000,12500},{0.0,1.56,1.232,0.9237,0.6069,0.5355,0.4998,0.48195,0.4624}),"")</f>
        <v>0</v>
      </c>
      <c r="M29" s="11">
        <f>iferror(if(K29="",G29,K29)*L29,"")</f>
        <v>0</v>
      </c>
      <c r="N29" t="s">
        <v>264</v>
      </c>
      <c r="O29" s="12" t="s">
        <v>249</v>
      </c>
      <c r="P29">
        <v>1000</v>
      </c>
      <c r="R29" s="11">
        <f>iferror(lookup(if(Q29="",G29,Q29),{0,1,10,100,500,1000,2500,10000},{0.0,1.7,1.15,0.891,0.688,0.608,0.546,0.526}),"")</f>
        <v>0</v>
      </c>
      <c r="S29" s="11">
        <f>iferror(if(Q29="",G29,Q29)*R29,"")</f>
        <v>0</v>
      </c>
      <c r="T29" t="s">
        <v>308</v>
      </c>
      <c r="U29" s="12" t="s">
        <v>249</v>
      </c>
      <c r="X29" s="11">
        <f>iferror(lookup(if(W29="",G29,W29),{0,1,10,25,50,100,250,500},{0.0,1.49,1.41,1.28,1.15,1.05,0.878,0.776}),"")</f>
        <v>0</v>
      </c>
      <c r="Y29" s="11">
        <f>iferror(if(W29="",G29,W29)*X29,"")</f>
        <v>0</v>
      </c>
      <c r="Z29" t="s">
        <v>329</v>
      </c>
      <c r="AA29" s="12" t="s">
        <v>249</v>
      </c>
    </row>
    <row r="30" spans="1:27">
      <c r="A30" t="s">
        <v>95</v>
      </c>
      <c r="B30" t="s">
        <v>97</v>
      </c>
      <c r="D30" t="s">
        <v>55</v>
      </c>
      <c r="E30" t="s">
        <v>88</v>
      </c>
      <c r="F30" t="s">
        <v>96</v>
      </c>
      <c r="G30">
        <f>BoardQty*1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  <c r="J30">
        <v>23488</v>
      </c>
      <c r="L30" s="11">
        <f>iferror(lookup(if(K30="",G30,K30),{0,1,10,100,500,1000,2000,3000,4000,6000,9000,10000},{0.0,0.1,0.069,0.0306,0.02182,0.01715,0.02482,0.01559,0.02271,0.01435,0.0131,0.0131}),"")</f>
        <v>0</v>
      </c>
      <c r="M30" s="11">
        <f>iferror(if(K30="",G30,K30)*L30,"")</f>
        <v>0</v>
      </c>
      <c r="N30" t="s">
        <v>265</v>
      </c>
      <c r="O30" s="12" t="s">
        <v>249</v>
      </c>
    </row>
    <row r="31" spans="1:27">
      <c r="A31" t="s">
        <v>98</v>
      </c>
      <c r="B31" t="s">
        <v>100</v>
      </c>
      <c r="D31" t="s">
        <v>99</v>
      </c>
      <c r="G31">
        <f>BoardQty*1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</row>
    <row r="32" spans="1:27">
      <c r="A32" t="s">
        <v>101</v>
      </c>
      <c r="B32" t="s">
        <v>103</v>
      </c>
      <c r="D32" t="s">
        <v>58</v>
      </c>
      <c r="E32" t="s">
        <v>12</v>
      </c>
      <c r="F32" t="s">
        <v>102</v>
      </c>
      <c r="G32">
        <f>BoardQty*10</f>
        <v>0</v>
      </c>
      <c r="H32" s="11">
        <f>MINA(INDIRECT(ADDRESS(ROW(),COLUMN(newark_part_data)+2)),INDIRECT(ADDRESS(ROW(),COLUMN(digikey_part_data)+2)),INDIRECT(ADDRESS(ROW(),COLUMN(mouser_part_data)+2)))</f>
        <v>0</v>
      </c>
      <c r="I32" s="11">
        <f>iferror(G32*H32,"")</f>
        <v>0</v>
      </c>
      <c r="J32">
        <v>775136</v>
      </c>
      <c r="L32" s="11">
        <f>iferror(lookup(if(K32="",G32,K32),{0,1,10,100,1000,2500,5000,10000,25000,50000,125000},{0.0,0.1,0.011,0.0046,0.00207,0.0018,0.00149,0.00129,0.00113,0.00104,0.00102}),"")</f>
        <v>0</v>
      </c>
      <c r="M32" s="11">
        <f>iferror(if(K32="",G32,K32)*L32,"")</f>
        <v>0</v>
      </c>
      <c r="N32" t="s">
        <v>266</v>
      </c>
      <c r="O32" s="12" t="s">
        <v>249</v>
      </c>
      <c r="X32" s="11">
        <f>iferror(lookup(if(W32="",G32,W32),{0,1,10,25,100,250,1000},{0.0,0.06,0.01,0.007,0.004,0.003,0.002}),"")</f>
        <v>0</v>
      </c>
      <c r="Y32" s="11">
        <f>iferror(if(W32="",G32,W32)*X32,"")</f>
        <v>0</v>
      </c>
      <c r="Z32" t="s">
        <v>330</v>
      </c>
      <c r="AA32" s="12" t="s">
        <v>249</v>
      </c>
    </row>
    <row r="33" spans="1:27">
      <c r="A33" t="s">
        <v>104</v>
      </c>
      <c r="B33" t="s">
        <v>105</v>
      </c>
      <c r="D33" t="s">
        <v>106</v>
      </c>
      <c r="E33" t="s">
        <v>41</v>
      </c>
      <c r="F33" t="s">
        <v>105</v>
      </c>
      <c r="G33">
        <f>BoardQty*1</f>
        <v>0</v>
      </c>
      <c r="H33" s="11">
        <f>MINA(INDIRECT(ADDRESS(ROW(),COLUMN(newark_part_data)+2)),INDIRECT(ADDRESS(ROW(),COLUMN(digikey_part_data)+2)),INDIRECT(ADDRESS(ROW(),COLUMN(mouser_part_data)+2)))</f>
        <v>0</v>
      </c>
      <c r="I33" s="11">
        <f>iferror(G33*H33,"")</f>
        <v>0</v>
      </c>
      <c r="J33">
        <v>1932</v>
      </c>
      <c r="L33" s="11">
        <f>iferror(lookup(if(K33="",G33,K33),{0,1,25,100,2000},{0.0,2.99,2.7404,2.478,2.56202}),"")</f>
        <v>0</v>
      </c>
      <c r="M33" s="11">
        <f>iferror(if(K33="",G33,K33)*L33,"")</f>
        <v>0</v>
      </c>
      <c r="N33" t="s">
        <v>267</v>
      </c>
      <c r="O33" s="12" t="s">
        <v>249</v>
      </c>
      <c r="P33">
        <v>3485</v>
      </c>
      <c r="R33" s="11">
        <f>iferror(lookup(if(Q33="",G33,Q33),{0,1,25,100,1000},{0.0,2.94,2.69,2.44,2.36}),"")</f>
        <v>0</v>
      </c>
      <c r="S33" s="11">
        <f>iferror(if(Q33="",G33,Q33)*R33,"")</f>
        <v>0</v>
      </c>
      <c r="T33" t="s">
        <v>309</v>
      </c>
      <c r="U33" s="12" t="s">
        <v>249</v>
      </c>
      <c r="X33" s="11">
        <f>iferror(lookup(if(W33="",G33,W33),{0,1,25,100},{0.0,2.93,2.69,2.43}),"")</f>
        <v>0</v>
      </c>
      <c r="Y33" s="11">
        <f>iferror(if(W33="",G33,W33)*X33,"")</f>
        <v>0</v>
      </c>
      <c r="Z33" t="s">
        <v>331</v>
      </c>
      <c r="AA33" s="12" t="s">
        <v>249</v>
      </c>
    </row>
    <row r="34" spans="1:27">
      <c r="A34" t="s">
        <v>107</v>
      </c>
      <c r="B34" t="s">
        <v>79</v>
      </c>
      <c r="D34" t="s">
        <v>37</v>
      </c>
      <c r="G34">
        <f>BoardQty*3</f>
        <v>0</v>
      </c>
      <c r="H34" s="11">
        <f>MINA(INDIRECT(ADDRESS(ROW(),COLUMN(newark_part_data)+2)),INDIRECT(ADDRESS(ROW(),COLUMN(digikey_part_data)+2)),INDIRECT(ADDRESS(ROW(),COLUMN(mouser_part_data)+2)))</f>
        <v>0</v>
      </c>
      <c r="I34" s="11">
        <f>iferror(G34*H34,"")</f>
        <v>0</v>
      </c>
    </row>
    <row r="35" spans="1:27">
      <c r="A35" t="s">
        <v>108</v>
      </c>
      <c r="B35" t="s">
        <v>110</v>
      </c>
      <c r="D35" t="s">
        <v>13</v>
      </c>
      <c r="E35" t="s">
        <v>12</v>
      </c>
      <c r="F35" t="s">
        <v>109</v>
      </c>
      <c r="G35">
        <f>BoardQty*1</f>
        <v>0</v>
      </c>
      <c r="H35" s="11">
        <f>MINA(INDIRECT(ADDRESS(ROW(),COLUMN(newark_part_data)+2)),INDIRECT(ADDRESS(ROW(),COLUMN(digikey_part_data)+2)),INDIRECT(ADDRESS(ROW(),COLUMN(mouser_part_data)+2)))</f>
        <v>0</v>
      </c>
      <c r="I35" s="11">
        <f>iferror(G35*H35,"")</f>
        <v>0</v>
      </c>
      <c r="J35">
        <v>21890</v>
      </c>
      <c r="L35" s="11">
        <f>iferror(lookup(if(K35="",G35,K35),{0,1,10,100,1000,2500,5000,10000,25000,50000,125000},{0.0,0.1,0.022,0.0088,0.00396,0.00344,0.00284,0.00247,0.00217,0.00199,0.00195}),"")</f>
        <v>0</v>
      </c>
      <c r="M35" s="11">
        <f>iferror(if(K35="",G35,K35)*L35,"")</f>
        <v>0</v>
      </c>
      <c r="N35" t="s">
        <v>268</v>
      </c>
      <c r="O35" s="12" t="s">
        <v>249</v>
      </c>
      <c r="P35">
        <v>1941</v>
      </c>
      <c r="R35" s="11">
        <f>iferror(lookup(if(Q35="",G35,Q35),{0,1,10,100,1000,5000,25000},{0.0,0.1,0.017,0.006,0.004,0.004,0.002}),"")</f>
        <v>0</v>
      </c>
      <c r="S35" s="11">
        <f>iferror(if(Q35="",G35,Q35)*R35,"")</f>
        <v>0</v>
      </c>
      <c r="T35" t="s">
        <v>310</v>
      </c>
      <c r="U35" s="12" t="s">
        <v>249</v>
      </c>
      <c r="X35" s="11">
        <f>iferror(lookup(if(W35="",G35,W35),{0,1,5000,10000,15000},{0.0,0.005,0.005,0.004,0.003}),"")</f>
        <v>0</v>
      </c>
      <c r="Y35" s="11">
        <f>iferror(if(W35="",G35,W35)*X35,"")</f>
        <v>0</v>
      </c>
      <c r="Z35" t="s">
        <v>332</v>
      </c>
      <c r="AA35" s="12" t="s">
        <v>249</v>
      </c>
    </row>
    <row r="36" spans="1:27">
      <c r="A36" t="s">
        <v>111</v>
      </c>
      <c r="B36" t="s">
        <v>114</v>
      </c>
      <c r="D36" t="s">
        <v>113</v>
      </c>
      <c r="E36" t="s">
        <v>20</v>
      </c>
      <c r="F36" t="s">
        <v>112</v>
      </c>
      <c r="G36">
        <f>BoardQty*1</f>
        <v>0</v>
      </c>
      <c r="H36" s="11">
        <f>MINA(INDIRECT(ADDRESS(ROW(),COLUMN(newark_part_data)+2)),INDIRECT(ADDRESS(ROW(),COLUMN(digikey_part_data)+2)),INDIRECT(ADDRESS(ROW(),COLUMN(mouser_part_data)+2)))</f>
        <v>0</v>
      </c>
      <c r="I36" s="11">
        <f>iferror(G36*H36,"")</f>
        <v>0</v>
      </c>
      <c r="J36">
        <v>28371</v>
      </c>
      <c r="L36" s="11">
        <f>iferror(lookup(if(K36="",G36,K36),{0,1,10,100,500,1000,2080,2500,5000,12500},{0.0,0.46,0.394,0.2942,0.23114,0.1786,0.18755,0.1581,0.1479,0.1377}),"")</f>
        <v>0</v>
      </c>
      <c r="M36" s="11">
        <f>iferror(if(K36="",G36,K36)*L36,"")</f>
        <v>0</v>
      </c>
      <c r="N36" t="s">
        <v>269</v>
      </c>
      <c r="O36" s="12" t="s">
        <v>249</v>
      </c>
      <c r="X36" s="11">
        <f>iferror(lookup(if(W36="",G36,W36),{0,1,2500,10000,25000,50000},{0.0,0.151,0.151,0.14,0.133,0.128}),"")</f>
        <v>0</v>
      </c>
      <c r="Y36" s="11">
        <f>iferror(if(W36="",G36,W36)*X36,"")</f>
        <v>0</v>
      </c>
      <c r="Z36" t="s">
        <v>333</v>
      </c>
      <c r="AA36" s="12" t="s">
        <v>249</v>
      </c>
    </row>
    <row r="37" spans="1:27">
      <c r="A37" t="s">
        <v>115</v>
      </c>
      <c r="B37" t="s">
        <v>117</v>
      </c>
      <c r="D37" t="s">
        <v>116</v>
      </c>
      <c r="G37">
        <f>BoardQty*4</f>
        <v>0</v>
      </c>
      <c r="H37" s="11">
        <f>MINA(INDIRECT(ADDRESS(ROW(),COLUMN(newark_part_data)+2)),INDIRECT(ADDRESS(ROW(),COLUMN(digikey_part_data)+2)),INDIRECT(ADDRESS(ROW(),COLUMN(mouser_part_data)+2)))</f>
        <v>0</v>
      </c>
      <c r="I37" s="11">
        <f>iferror(G37*H37,"")</f>
        <v>0</v>
      </c>
    </row>
    <row r="38" spans="1:27">
      <c r="A38" t="s">
        <v>118</v>
      </c>
      <c r="B38" t="s">
        <v>120</v>
      </c>
      <c r="D38" t="s">
        <v>58</v>
      </c>
      <c r="E38" t="s">
        <v>12</v>
      </c>
      <c r="F38" t="s">
        <v>119</v>
      </c>
      <c r="G38">
        <f>BoardQty*4</f>
        <v>0</v>
      </c>
      <c r="H38" s="11">
        <f>MINA(INDIRECT(ADDRESS(ROW(),COLUMN(newark_part_data)+2)),INDIRECT(ADDRESS(ROW(),COLUMN(digikey_part_data)+2)),INDIRECT(ADDRESS(ROW(),COLUMN(mouser_part_data)+2)))</f>
        <v>0</v>
      </c>
      <c r="I38" s="11">
        <f>iferror(G38*H38,"")</f>
        <v>0</v>
      </c>
      <c r="J38">
        <v>4042353</v>
      </c>
      <c r="L38" s="11">
        <f>iferror(lookup(if(K38="",G38,K38),{0,1,10,100,1000,2500,5000,10000,25000,50000,125000},{0.0,0.1,0.011,0.0046,0.00207,0.0018,0.00149,0.00129,0.00113,0.00104,0.00102}),"")</f>
        <v>0</v>
      </c>
      <c r="M38" s="11">
        <f>iferror(if(K38="",G38,K38)*L38,"")</f>
        <v>0</v>
      </c>
      <c r="N38" t="s">
        <v>270</v>
      </c>
      <c r="O38" s="12" t="s">
        <v>249</v>
      </c>
      <c r="P38">
        <v>225617</v>
      </c>
      <c r="R38" s="11">
        <f>iferror(lookup(if(Q38="",G38,Q38),{0,1,10,100,1000,5000},{0.0,0.1,0.008,0.002,0.001,0.001}),"")</f>
        <v>0</v>
      </c>
      <c r="S38" s="11">
        <f>iferror(if(Q38="",G38,Q38)*R38,"")</f>
        <v>0</v>
      </c>
      <c r="T38" t="s">
        <v>311</v>
      </c>
      <c r="U38" s="12" t="s">
        <v>249</v>
      </c>
      <c r="X38" s="11">
        <f>iferror(lookup(if(W38="",G38,W38),{0,1,10,25,100,250,1000},{0.0,0.06,0.01,0.007,0.004,0.003,0.002}),"")</f>
        <v>0</v>
      </c>
      <c r="Y38" s="11">
        <f>iferror(if(W38="",G38,W38)*X38,"")</f>
        <v>0</v>
      </c>
      <c r="Z38" t="s">
        <v>334</v>
      </c>
      <c r="AA38" s="12" t="s">
        <v>249</v>
      </c>
    </row>
    <row r="39" spans="1:27">
      <c r="A39" t="s">
        <v>121</v>
      </c>
      <c r="B39" t="s">
        <v>123</v>
      </c>
      <c r="D39" t="s">
        <v>37</v>
      </c>
      <c r="E39" t="s">
        <v>36</v>
      </c>
      <c r="F39" t="s">
        <v>122</v>
      </c>
      <c r="G39">
        <f>BoardQty*2</f>
        <v>0</v>
      </c>
      <c r="H39" s="11">
        <f>MINA(INDIRECT(ADDRESS(ROW(),COLUMN(newark_part_data)+2)),INDIRECT(ADDRESS(ROW(),COLUMN(digikey_part_data)+2)),INDIRECT(ADDRESS(ROW(),COLUMN(mouser_part_data)+2)))</f>
        <v>0</v>
      </c>
      <c r="I39" s="11">
        <f>iferror(G39*H39,"")</f>
        <v>0</v>
      </c>
      <c r="J39">
        <v>2731183</v>
      </c>
      <c r="L39" s="11">
        <f>iferror(lookup(if(K39="",G39,K39),{0,1,10,100,500,1000,4000,8000,12000},{0.0,0.15,0.105,0.0495,0.03472,0.02875,0.02129,0.0198,0.01881}),"")</f>
        <v>0</v>
      </c>
      <c r="M39" s="11">
        <f>iferror(if(K39="",G39,K39)*L39,"")</f>
        <v>0</v>
      </c>
      <c r="N39" t="s">
        <v>271</v>
      </c>
      <c r="O39" s="12" t="s">
        <v>249</v>
      </c>
      <c r="P39">
        <v>327975</v>
      </c>
      <c r="R39" s="11">
        <f>iferror(lookup(if(Q39="",G39,Q39),{0,1,10,100,500,1000,4000,8000,24000},{0.0,0.151,0.058,0.04,0.033,0.028,0.021,0.02,0.019}),"")</f>
        <v>0</v>
      </c>
      <c r="S39" s="11">
        <f>iferror(if(Q39="",G39,Q39)*R39,"")</f>
        <v>0</v>
      </c>
      <c r="T39" t="s">
        <v>312</v>
      </c>
      <c r="U39" s="12" t="s">
        <v>249</v>
      </c>
      <c r="X39" s="11">
        <f>iferror(lookup(if(W39="",G39,W39),{0,1,10,100,500,1000},{0.0,0.105,0.105,0.049,0.034,0.028}),"")</f>
        <v>0</v>
      </c>
      <c r="Y39" s="11">
        <f>iferror(if(W39="",G39,W39)*X39,"")</f>
        <v>0</v>
      </c>
      <c r="Z39" t="s">
        <v>335</v>
      </c>
      <c r="AA39" s="12" t="s">
        <v>249</v>
      </c>
    </row>
    <row r="40" spans="1:27">
      <c r="A40" t="s">
        <v>124</v>
      </c>
      <c r="B40" t="s">
        <v>128</v>
      </c>
      <c r="D40" t="s">
        <v>127</v>
      </c>
      <c r="E40" t="s">
        <v>126</v>
      </c>
      <c r="F40" t="s">
        <v>125</v>
      </c>
      <c r="G40">
        <f>BoardQty*1</f>
        <v>0</v>
      </c>
      <c r="H40" s="11">
        <f>MINA(INDIRECT(ADDRESS(ROW(),COLUMN(newark_part_data)+2)),INDIRECT(ADDRESS(ROW(),COLUMN(digikey_part_data)+2)),INDIRECT(ADDRESS(ROW(),COLUMN(mouser_part_data)+2)))</f>
        <v>0</v>
      </c>
      <c r="I40" s="11">
        <f>iferror(G40*H40,"")</f>
        <v>0</v>
      </c>
      <c r="J40">
        <v>4000</v>
      </c>
      <c r="L40" s="11">
        <f>iferror(lookup(if(K40="",G40,K40),{0,1,5,10,50,100,250,500,1000,4000},{0.0,0.81,0.784,0.734,0.6072,0.506,0.49336,0.41746,0.36685,0.31625}),"")</f>
        <v>0</v>
      </c>
      <c r="M40" s="11">
        <f>iferror(if(K40="",G40,K40)*L40,"")</f>
        <v>0</v>
      </c>
      <c r="N40" t="s">
        <v>272</v>
      </c>
      <c r="O40" s="12" t="s">
        <v>249</v>
      </c>
      <c r="R40" s="11">
        <f>iferror(lookup(if(Q40="",G40,Q40),{0,1,8000,24000},{0.0,0.353,0.353,0.343}),"")</f>
        <v>0</v>
      </c>
      <c r="S40" s="11">
        <f>iferror(if(Q40="",G40,Q40)*R40,"")</f>
        <v>0</v>
      </c>
      <c r="T40" t="s">
        <v>313</v>
      </c>
      <c r="U40" s="12" t="s">
        <v>249</v>
      </c>
    </row>
    <row r="41" spans="1:27">
      <c r="A41" t="s">
        <v>129</v>
      </c>
      <c r="B41" t="s">
        <v>132</v>
      </c>
      <c r="D41" t="s">
        <v>131</v>
      </c>
      <c r="E41" t="s">
        <v>20</v>
      </c>
      <c r="F41" t="s">
        <v>130</v>
      </c>
      <c r="G41">
        <f>BoardQty*1</f>
        <v>0</v>
      </c>
      <c r="H41" s="11">
        <f>MINA(INDIRECT(ADDRESS(ROW(),COLUMN(newark_part_data)+2)),INDIRECT(ADDRESS(ROW(),COLUMN(digikey_part_data)+2)),INDIRECT(ADDRESS(ROW(),COLUMN(mouser_part_data)+2)))</f>
        <v>0</v>
      </c>
      <c r="I41" s="11">
        <f>iferror(G41*H41,"")</f>
        <v>0</v>
      </c>
      <c r="J41">
        <v>945</v>
      </c>
      <c r="L41" s="11">
        <f>iferror(lookup(if(K41="",G41,K41),{0,1,5,10,25,50,100,250},{0.0,22.75,22.572,22.396,22.0464,20.9966,19.2468,18.68624}),"")</f>
        <v>0</v>
      </c>
      <c r="M41" s="11">
        <f>iferror(if(K41="",G41,K41)*L41,"")</f>
        <v>0</v>
      </c>
      <c r="N41" t="s">
        <v>273</v>
      </c>
      <c r="O41" s="12" t="s">
        <v>249</v>
      </c>
      <c r="R41" s="11">
        <f>iferror(lookup(if(Q41="",G41,Q41),{0,1,10,25,50,100,250,500},{0.0,22.64,22.47,22.11,21.06,19.3,18.75,18.53}),"")</f>
        <v>0</v>
      </c>
      <c r="S41" s="11">
        <f>iferror(if(Q41="",G41,Q41)*R41,"")</f>
        <v>0</v>
      </c>
      <c r="T41" t="s">
        <v>314</v>
      </c>
      <c r="U41" s="12" t="s">
        <v>249</v>
      </c>
      <c r="X41" s="11">
        <f>iferror(lookup(if(W41="",G41,W41),{0,1,250,500},{0.0,19.71,19.71,18.76}),"")</f>
        <v>0</v>
      </c>
      <c r="Y41" s="11">
        <f>iferror(if(W41="",G41,W41)*X41,"")</f>
        <v>0</v>
      </c>
      <c r="Z41" t="s">
        <v>336</v>
      </c>
      <c r="AA41" s="12" t="s">
        <v>249</v>
      </c>
    </row>
    <row r="42" spans="1:27">
      <c r="A42" t="s">
        <v>133</v>
      </c>
      <c r="B42" t="s">
        <v>89</v>
      </c>
      <c r="D42" t="s">
        <v>55</v>
      </c>
      <c r="E42" t="s">
        <v>88</v>
      </c>
      <c r="F42" t="s">
        <v>87</v>
      </c>
      <c r="G42">
        <f>BoardQty*2</f>
        <v>0</v>
      </c>
      <c r="H42" s="11">
        <f>MINA(INDIRECT(ADDRESS(ROW(),COLUMN(newark_part_data)+2)),INDIRECT(ADDRESS(ROW(),COLUMN(digikey_part_data)+2)),INDIRECT(ADDRESS(ROW(),COLUMN(mouser_part_data)+2)))</f>
        <v>0</v>
      </c>
      <c r="I42" s="11">
        <f>iferror(G42*H42,"")</f>
        <v>0</v>
      </c>
      <c r="J42">
        <v>270027</v>
      </c>
      <c r="L42" s="11">
        <f>iferror(lookup(if(K42="",G42,K42),{0,1,10,100,500,1000,2000,3000,4000,6000,9000,10000},{0.0,0.2,0.136,0.069,0.0472,0.04175,0.03993,0.02396,0.0363,0.02192,0.02039,0.02039}),"")</f>
        <v>0</v>
      </c>
      <c r="M42" s="11">
        <f>iferror(if(K42="",G42,K42)*L42,"")</f>
        <v>0</v>
      </c>
      <c r="N42" t="s">
        <v>263</v>
      </c>
      <c r="O42" s="12" t="s">
        <v>249</v>
      </c>
    </row>
    <row r="43" spans="1:27">
      <c r="A43" t="s">
        <v>134</v>
      </c>
      <c r="B43" t="s">
        <v>136</v>
      </c>
      <c r="D43" t="s">
        <v>135</v>
      </c>
      <c r="G43">
        <f>BoardQty*1</f>
        <v>0</v>
      </c>
      <c r="H43" s="11">
        <f>MINA(INDIRECT(ADDRESS(ROW(),COLUMN(newark_part_data)+2)),INDIRECT(ADDRESS(ROW(),COLUMN(digikey_part_data)+2)),INDIRECT(ADDRESS(ROW(),COLUMN(mouser_part_data)+2)))</f>
        <v>0</v>
      </c>
      <c r="I43" s="11">
        <f>iferror(G43*H43,"")</f>
        <v>0</v>
      </c>
    </row>
    <row r="44" spans="1:27">
      <c r="A44" t="s">
        <v>137</v>
      </c>
      <c r="B44" t="s">
        <v>89</v>
      </c>
      <c r="D44" t="s">
        <v>55</v>
      </c>
      <c r="E44" t="s">
        <v>88</v>
      </c>
      <c r="F44" t="s">
        <v>87</v>
      </c>
      <c r="G44">
        <f>BoardQty*5</f>
        <v>0</v>
      </c>
      <c r="H44" s="11">
        <f>MINA(INDIRECT(ADDRESS(ROW(),COLUMN(newark_part_data)+2)),INDIRECT(ADDRESS(ROW(),COLUMN(digikey_part_data)+2)),INDIRECT(ADDRESS(ROW(),COLUMN(mouser_part_data)+2)))</f>
        <v>0</v>
      </c>
      <c r="I44" s="11">
        <f>iferror(G44*H44,"")</f>
        <v>0</v>
      </c>
      <c r="J44">
        <v>270027</v>
      </c>
      <c r="L44" s="11">
        <f>iferror(lookup(if(K44="",G44,K44),{0,1,10,100,500,1000,2000,3000,4000,6000,9000,10000},{0.0,0.2,0.136,0.069,0.0472,0.04175,0.03993,0.02396,0.0363,0.02192,0.02039,0.02039}),"")</f>
        <v>0</v>
      </c>
      <c r="M44" s="11">
        <f>iferror(if(K44="",G44,K44)*L44,"")</f>
        <v>0</v>
      </c>
      <c r="N44" t="s">
        <v>263</v>
      </c>
      <c r="O44" s="12" t="s">
        <v>249</v>
      </c>
    </row>
    <row r="45" spans="1:27">
      <c r="A45" t="s">
        <v>138</v>
      </c>
      <c r="B45" t="s">
        <v>140</v>
      </c>
      <c r="D45" t="s">
        <v>139</v>
      </c>
      <c r="G45">
        <f>BoardQty*1</f>
        <v>0</v>
      </c>
      <c r="H45" s="11">
        <f>MINA(INDIRECT(ADDRESS(ROW(),COLUMN(newark_part_data)+2)),INDIRECT(ADDRESS(ROW(),COLUMN(digikey_part_data)+2)),INDIRECT(ADDRESS(ROW(),COLUMN(mouser_part_data)+2)))</f>
        <v>0</v>
      </c>
      <c r="I45" s="11">
        <f>iferror(G45*H45,"")</f>
        <v>0</v>
      </c>
    </row>
    <row r="46" spans="1:27">
      <c r="A46" t="s">
        <v>141</v>
      </c>
      <c r="B46" t="s">
        <v>79</v>
      </c>
      <c r="D46" t="s">
        <v>55</v>
      </c>
      <c r="G46">
        <f>BoardQty*1</f>
        <v>0</v>
      </c>
      <c r="H46" s="11">
        <f>MINA(INDIRECT(ADDRESS(ROW(),COLUMN(newark_part_data)+2)),INDIRECT(ADDRESS(ROW(),COLUMN(digikey_part_data)+2)),INDIRECT(ADDRESS(ROW(),COLUMN(mouser_part_data)+2)))</f>
        <v>0</v>
      </c>
      <c r="I46" s="11">
        <f>iferror(G46*H46,"")</f>
        <v>0</v>
      </c>
    </row>
    <row r="47" spans="1:27">
      <c r="A47" t="s">
        <v>142</v>
      </c>
      <c r="B47" t="s">
        <v>59</v>
      </c>
      <c r="D47" t="s">
        <v>13</v>
      </c>
      <c r="G47">
        <f>BoardQty*1</f>
        <v>0</v>
      </c>
      <c r="H47" s="11">
        <f>MINA(INDIRECT(ADDRESS(ROW(),COLUMN(newark_part_data)+2)),INDIRECT(ADDRESS(ROW(),COLUMN(digikey_part_data)+2)),INDIRECT(ADDRESS(ROW(),COLUMN(mouser_part_data)+2)))</f>
        <v>0</v>
      </c>
      <c r="I47" s="11">
        <f>iferror(G47*H47,"")</f>
        <v>0</v>
      </c>
    </row>
    <row r="48" spans="1:27">
      <c r="A48" t="s">
        <v>143</v>
      </c>
      <c r="B48" t="s">
        <v>145</v>
      </c>
      <c r="D48" t="s">
        <v>58</v>
      </c>
      <c r="E48" t="s">
        <v>12</v>
      </c>
      <c r="F48" t="s">
        <v>144</v>
      </c>
      <c r="G48">
        <f>BoardQty*2</f>
        <v>0</v>
      </c>
      <c r="H48" s="11">
        <f>MINA(INDIRECT(ADDRESS(ROW(),COLUMN(newark_part_data)+2)),INDIRECT(ADDRESS(ROW(),COLUMN(digikey_part_data)+2)),INDIRECT(ADDRESS(ROW(),COLUMN(mouser_part_data)+2)))</f>
        <v>0</v>
      </c>
      <c r="I48" s="11">
        <f>iferror(G48*H48,"")</f>
        <v>0</v>
      </c>
      <c r="J48">
        <v>980582</v>
      </c>
      <c r="L48" s="11">
        <f>iferror(lookup(if(K48="",G48,K48),{0,1,10,100,1000,2500,5000,10000,25000,50000,125000},{0.0,0.1,0.011,0.0046,0.00207,0.0018,0.00149,0.00129,0.00113,0.00104,0.00102}),"")</f>
        <v>0</v>
      </c>
      <c r="M48" s="11">
        <f>iferror(if(K48="",G48,K48)*L48,"")</f>
        <v>0</v>
      </c>
      <c r="N48" t="s">
        <v>274</v>
      </c>
      <c r="O48" s="12" t="s">
        <v>249</v>
      </c>
      <c r="R48" s="11">
        <f>iferror(lookup(if(Q48="",G48,Q48),{0,1,10,100,1000,5000},{0.0,0.1,0.008,0.002,0.001,0.001}),"")</f>
        <v>0</v>
      </c>
      <c r="S48" s="11">
        <f>iferror(if(Q48="",G48,Q48)*R48,"")</f>
        <v>0</v>
      </c>
      <c r="T48" t="s">
        <v>315</v>
      </c>
      <c r="U48" s="12" t="s">
        <v>249</v>
      </c>
      <c r="X48" s="11">
        <f>iferror(lookup(if(W48="",G48,W48),{0,1,10,25,100,250,1000},{0.0,0.009,0.009,0.009,0.006,0.004,0.003}),"")</f>
        <v>0</v>
      </c>
      <c r="Y48" s="11">
        <f>iferror(if(W48="",G48,W48)*X48,"")</f>
        <v>0</v>
      </c>
      <c r="Z48" t="s">
        <v>337</v>
      </c>
      <c r="AA48" s="12" t="s">
        <v>249</v>
      </c>
    </row>
    <row r="49" spans="1:27">
      <c r="A49" t="s">
        <v>146</v>
      </c>
      <c r="B49" t="s">
        <v>148</v>
      </c>
      <c r="D49" t="s">
        <v>37</v>
      </c>
      <c r="E49" t="s">
        <v>88</v>
      </c>
      <c r="F49" t="s">
        <v>147</v>
      </c>
      <c r="G49">
        <f>BoardQty*2</f>
        <v>0</v>
      </c>
      <c r="H49" s="11">
        <f>MINA(INDIRECT(ADDRESS(ROW(),COLUMN(newark_part_data)+2)),INDIRECT(ADDRESS(ROW(),COLUMN(digikey_part_data)+2)),INDIRECT(ADDRESS(ROW(),COLUMN(mouser_part_data)+2)))</f>
        <v>0</v>
      </c>
      <c r="I49" s="11">
        <f>iferror(G49*H49,"")</f>
        <v>0</v>
      </c>
      <c r="J49">
        <v>692434</v>
      </c>
      <c r="L49" s="11">
        <f>iferror(lookup(if(K49="",G49,K49),{0,1,10,100,500,1000,4000,8000,12000},{0.0,0.1,0.011,0.005,0.00358,0.00281,0.00235,0.00215,0.00205}),"")</f>
        <v>0</v>
      </c>
      <c r="M49" s="11">
        <f>iferror(if(K49="",G49,K49)*L49,"")</f>
        <v>0</v>
      </c>
      <c r="N49" t="s">
        <v>275</v>
      </c>
      <c r="O49" s="12" t="s">
        <v>249</v>
      </c>
    </row>
    <row r="50" spans="1:27">
      <c r="A50" t="s">
        <v>149</v>
      </c>
      <c r="B50" t="s">
        <v>153</v>
      </c>
      <c r="D50" t="s">
        <v>152</v>
      </c>
      <c r="E50" t="s">
        <v>151</v>
      </c>
      <c r="F50" t="s">
        <v>150</v>
      </c>
      <c r="G50">
        <f>BoardQty*1</f>
        <v>0</v>
      </c>
      <c r="H50" s="11">
        <f>MINA(INDIRECT(ADDRESS(ROW(),COLUMN(newark_part_data)+2)),INDIRECT(ADDRESS(ROW(),COLUMN(digikey_part_data)+2)),INDIRECT(ADDRESS(ROW(),COLUMN(mouser_part_data)+2)))</f>
        <v>0</v>
      </c>
      <c r="I50" s="11">
        <f>iferror(G50*H50,"")</f>
        <v>0</v>
      </c>
      <c r="J50">
        <v>1663</v>
      </c>
      <c r="L50" s="11">
        <f>iferror(lookup(if(K50="",G50,K50),{0,1,10,100,500,1500},{0.0,0.96,0.842,0.6455,0.51032,0.39635}),"")</f>
        <v>0</v>
      </c>
      <c r="M50" s="11">
        <f>iferror(if(K50="",G50,K50)*L50,"")</f>
        <v>0</v>
      </c>
      <c r="N50" t="s">
        <v>276</v>
      </c>
      <c r="O50" s="12" t="s">
        <v>249</v>
      </c>
      <c r="P50">
        <v>2995</v>
      </c>
      <c r="R50" s="11">
        <f>iferror(lookup(if(Q50="",G50,Q50),{0,1,10,100,1000,1500,9000,24000},{0.0,0.843,0.701,0.452,0.362,0.306,0.294,0.293}),"")</f>
        <v>0</v>
      </c>
      <c r="S50" s="11">
        <f>iferror(if(Q50="",G50,Q50)*R50,"")</f>
        <v>0</v>
      </c>
      <c r="T50" t="s">
        <v>316</v>
      </c>
      <c r="U50" s="12" t="s">
        <v>249</v>
      </c>
      <c r="X50" s="11">
        <f>iferror(lookup(if(W50="",G50,W50),{0,1,1500,5000},{0.0,0.534,0.534,0.485}),"")</f>
        <v>0</v>
      </c>
      <c r="Y50" s="11">
        <f>iferror(if(W50="",G50,W50)*X50,"")</f>
        <v>0</v>
      </c>
      <c r="Z50" t="s">
        <v>338</v>
      </c>
      <c r="AA50" s="12" t="s">
        <v>249</v>
      </c>
    </row>
    <row r="51" spans="1:27">
      <c r="A51" t="s">
        <v>154</v>
      </c>
      <c r="B51" t="s">
        <v>156</v>
      </c>
      <c r="D51" t="s">
        <v>58</v>
      </c>
      <c r="E51" t="s">
        <v>12</v>
      </c>
      <c r="F51" t="s">
        <v>155</v>
      </c>
      <c r="G51">
        <f>BoardQty*1</f>
        <v>0</v>
      </c>
      <c r="H51" s="11">
        <f>MINA(INDIRECT(ADDRESS(ROW(),COLUMN(newark_part_data)+2)),INDIRECT(ADDRESS(ROW(),COLUMN(digikey_part_data)+2)),INDIRECT(ADDRESS(ROW(),COLUMN(mouser_part_data)+2)))</f>
        <v>0</v>
      </c>
      <c r="I51" s="11">
        <f>iferror(G51*H51,"")</f>
        <v>0</v>
      </c>
      <c r="J51">
        <v>1590654</v>
      </c>
      <c r="L51" s="11">
        <f>iferror(lookup(if(K51="",G51,K51),{0,1,10,100,1000,2500,5000,10000,25000,50000,125000},{0.0,0.1,0.011,0.0046,0.00207,0.0018,0.00149,0.00129,0.00113,0.00104,0.00102}),"")</f>
        <v>0</v>
      </c>
      <c r="M51" s="11">
        <f>iferror(if(K51="",G51,K51)*L51,"")</f>
        <v>0</v>
      </c>
      <c r="N51" t="s">
        <v>277</v>
      </c>
      <c r="O51" s="12" t="s">
        <v>249</v>
      </c>
      <c r="P51">
        <v>156735</v>
      </c>
      <c r="R51" s="11">
        <f>iferror(lookup(if(Q51="",G51,Q51),{0,1,10,100,1000,5000},{0.0,0.1,0.008,0.002,0.001,0.001}),"")</f>
        <v>0</v>
      </c>
      <c r="S51" s="11">
        <f>iferror(if(Q51="",G51,Q51)*R51,"")</f>
        <v>0</v>
      </c>
      <c r="T51" t="s">
        <v>317</v>
      </c>
      <c r="U51" s="12" t="s">
        <v>249</v>
      </c>
      <c r="X51" s="11">
        <f>iferror(lookup(if(W51="",G51,W51),{0,1,10,25,100,250,1000},{0.0,0.06,0.01,0.007,0.004,0.003,0.002}),"")</f>
        <v>0</v>
      </c>
      <c r="Y51" s="11">
        <f>iferror(if(W51="",G51,W51)*X51,"")</f>
        <v>0</v>
      </c>
      <c r="Z51" t="s">
        <v>339</v>
      </c>
      <c r="AA51" s="12" t="s">
        <v>249</v>
      </c>
    </row>
    <row r="52" spans="1:27">
      <c r="A52" t="s">
        <v>157</v>
      </c>
      <c r="B52" t="s">
        <v>161</v>
      </c>
      <c r="D52" t="s">
        <v>160</v>
      </c>
      <c r="E52" t="s">
        <v>159</v>
      </c>
      <c r="F52" t="s">
        <v>158</v>
      </c>
      <c r="G52">
        <f>BoardQty*3</f>
        <v>0</v>
      </c>
      <c r="H52" s="11">
        <f>MINA(INDIRECT(ADDRESS(ROW(),COLUMN(newark_part_data)+2)),INDIRECT(ADDRESS(ROW(),COLUMN(digikey_part_data)+2)),INDIRECT(ADDRESS(ROW(),COLUMN(mouser_part_data)+2)))</f>
        <v>0</v>
      </c>
      <c r="I52" s="11">
        <f>iferror(G52*H52,"")</f>
        <v>0</v>
      </c>
      <c r="J52">
        <v>209847</v>
      </c>
      <c r="L52" s="11">
        <f>iferror(lookup(if(K52="",G52,K52),{0,1,10,100,500,1000,2000},{0.0,0.78,0.572,0.3924,0.31066,0.26161,0.24526}),"")</f>
        <v>0</v>
      </c>
      <c r="M52" s="11">
        <f>iferror(if(K52="",G52,K52)*L52,"")</f>
        <v>0</v>
      </c>
      <c r="N52" t="s">
        <v>278</v>
      </c>
      <c r="O52" s="12" t="s">
        <v>249</v>
      </c>
      <c r="X52" s="11">
        <f>iferror(lookup(if(W52="",G52,W52),{0,1,10,25,50,100,250,500},{0.0,0.88,0.509,0.454,0.399,0.344,0.328,0.312}),"")</f>
        <v>0</v>
      </c>
      <c r="Y52" s="11">
        <f>iferror(if(W52="",G52,W52)*X52,"")</f>
        <v>0</v>
      </c>
      <c r="Z52" t="s">
        <v>340</v>
      </c>
      <c r="AA52" s="12" t="s">
        <v>249</v>
      </c>
    </row>
    <row r="53" spans="1:27">
      <c r="A53" t="s">
        <v>162</v>
      </c>
      <c r="B53" t="s">
        <v>166</v>
      </c>
      <c r="D53" t="s">
        <v>165</v>
      </c>
      <c r="E53" t="s">
        <v>164</v>
      </c>
      <c r="F53" t="s">
        <v>163</v>
      </c>
      <c r="G53">
        <f>BoardQty*1</f>
        <v>0</v>
      </c>
      <c r="H53" s="11">
        <f>MINA(INDIRECT(ADDRESS(ROW(),COLUMN(newark_part_data)+2)),INDIRECT(ADDRESS(ROW(),COLUMN(digikey_part_data)+2)),INDIRECT(ADDRESS(ROW(),COLUMN(mouser_part_data)+2)))</f>
        <v>0</v>
      </c>
      <c r="I53" s="11">
        <f>iferror(G53*H53,"")</f>
        <v>0</v>
      </c>
      <c r="J53">
        <v>47049</v>
      </c>
      <c r="L53" s="11">
        <f>iferror(lookup(if(K53="",G53,K53),{0,1,10,100,500,1000,2500,5000},{0.0,0.45,0.318,0.2092,0.15498,0.13173,0.12398,0.11624}),"")</f>
        <v>0</v>
      </c>
      <c r="M53" s="11">
        <f>iferror(if(K53="",G53,K53)*L53,"")</f>
        <v>0</v>
      </c>
      <c r="N53" t="s">
        <v>279</v>
      </c>
      <c r="O53" s="12" t="s">
        <v>249</v>
      </c>
      <c r="X53" s="11">
        <f>iferror(lookup(if(W53="",G53,W53),{0,1,10,25,50,100,500,1000,2500},{0.0,0.48,0.259,0.237,0.214,0.192,0.167,0.142,0.133}),"")</f>
        <v>0</v>
      </c>
      <c r="Y53" s="11">
        <f>iferror(if(W53="",G53,W53)*X53,"")</f>
        <v>0</v>
      </c>
      <c r="Z53" t="s">
        <v>341</v>
      </c>
      <c r="AA53" s="12" t="s">
        <v>249</v>
      </c>
    </row>
    <row r="54" spans="1:27">
      <c r="A54" t="s">
        <v>167</v>
      </c>
      <c r="B54" t="s">
        <v>169</v>
      </c>
      <c r="D54" t="s">
        <v>37</v>
      </c>
      <c r="E54" t="s">
        <v>36</v>
      </c>
      <c r="F54" t="s">
        <v>168</v>
      </c>
      <c r="G54">
        <f>BoardQty*10</f>
        <v>0</v>
      </c>
      <c r="H54" s="11">
        <f>MINA(INDIRECT(ADDRESS(ROW(),COLUMN(newark_part_data)+2)),INDIRECT(ADDRESS(ROW(),COLUMN(digikey_part_data)+2)),INDIRECT(ADDRESS(ROW(),COLUMN(mouser_part_data)+2)))</f>
        <v>0</v>
      </c>
      <c r="I54" s="11">
        <f>iferror(G54*H54,"")</f>
        <v>0</v>
      </c>
      <c r="J54">
        <v>21159430</v>
      </c>
      <c r="L54" s="11">
        <f>iferror(lookup(if(K54="",G54,K54),{0,1,10,100,500,1000,4000,8000,12000},{0.0,0.12,0.084,0.0396,0.02778,0.023,0.01822,0.01663,0.01584}),"")</f>
        <v>0</v>
      </c>
      <c r="M54" s="11">
        <f>iferror(if(K54="",G54,K54)*L54,"")</f>
        <v>0</v>
      </c>
      <c r="N54" t="s">
        <v>280</v>
      </c>
      <c r="O54" s="12" t="s">
        <v>249</v>
      </c>
      <c r="X54" s="11">
        <f>iferror(lookup(if(W54="",G54,W54),{0,1,25,50,100,250,500,1000},{0.0,0.1,0.046,0.034,0.021,0.018,0.015,0.012}),"")</f>
        <v>0</v>
      </c>
      <c r="Y54" s="11">
        <f>iferror(if(W54="",G54,W54)*X54,"")</f>
        <v>0</v>
      </c>
      <c r="Z54" t="s">
        <v>342</v>
      </c>
      <c r="AA54" s="12" t="s">
        <v>249</v>
      </c>
    </row>
    <row r="55" spans="1:27">
      <c r="A55" t="s">
        <v>170</v>
      </c>
      <c r="B55" t="s">
        <v>172</v>
      </c>
      <c r="D55" t="s">
        <v>171</v>
      </c>
      <c r="G55">
        <f>BoardQty*1</f>
        <v>0</v>
      </c>
      <c r="H55" s="11">
        <f>MINA(INDIRECT(ADDRESS(ROW(),COLUMN(newark_part_data)+2)),INDIRECT(ADDRESS(ROW(),COLUMN(digikey_part_data)+2)),INDIRECT(ADDRESS(ROW(),COLUMN(mouser_part_data)+2)))</f>
        <v>0</v>
      </c>
      <c r="I55" s="11">
        <f>iferror(G55*H55,"")</f>
        <v>0</v>
      </c>
    </row>
    <row r="56" spans="1:27">
      <c r="A56" t="s">
        <v>173</v>
      </c>
      <c r="B56" t="s">
        <v>175</v>
      </c>
      <c r="D56" t="s">
        <v>13</v>
      </c>
      <c r="E56" t="s">
        <v>12</v>
      </c>
      <c r="F56" t="s">
        <v>174</v>
      </c>
      <c r="G56">
        <f>BoardQty*1</f>
        <v>0</v>
      </c>
      <c r="H56" s="11">
        <f>MINA(INDIRECT(ADDRESS(ROW(),COLUMN(newark_part_data)+2)),INDIRECT(ADDRESS(ROW(),COLUMN(digikey_part_data)+2)),INDIRECT(ADDRESS(ROW(),COLUMN(mouser_part_data)+2)))</f>
        <v>0</v>
      </c>
      <c r="I56" s="11">
        <f>iferror(G56*H56,"")</f>
        <v>0</v>
      </c>
      <c r="J56">
        <v>174315</v>
      </c>
      <c r="L56" s="11">
        <f>iferror(lookup(if(K56="",G56,K56),{0,1,10,100,1000,2500,5000,10000,25000,50000,125000},{0.0,0.1,0.022,0.0088,0.00396,0.00344,0.00284,0.00247,0.00217,0.00199,0.00195}),"")</f>
        <v>0</v>
      </c>
      <c r="M56" s="11">
        <f>iferror(if(K56="",G56,K56)*L56,"")</f>
        <v>0</v>
      </c>
      <c r="N56" t="s">
        <v>281</v>
      </c>
      <c r="O56" s="12" t="s">
        <v>249</v>
      </c>
      <c r="X56" s="11">
        <f>iferror(lookup(if(W56="",G56,W56),{0,1,5000,10000,15000},{0.0,0.005,0.005,0.004,0.003}),"")</f>
        <v>0</v>
      </c>
      <c r="Y56" s="11">
        <f>iferror(if(W56="",G56,W56)*X56,"")</f>
        <v>0</v>
      </c>
      <c r="Z56" t="s">
        <v>343</v>
      </c>
      <c r="AA56" s="12" t="s">
        <v>249</v>
      </c>
    </row>
    <row r="57" spans="1:27">
      <c r="A57" t="s">
        <v>176</v>
      </c>
      <c r="B57" t="s">
        <v>179</v>
      </c>
      <c r="D57" t="s">
        <v>58</v>
      </c>
      <c r="E57" t="s">
        <v>178</v>
      </c>
      <c r="F57" t="s">
        <v>177</v>
      </c>
      <c r="G57">
        <f>BoardQty*1</f>
        <v>0</v>
      </c>
      <c r="H57" s="11">
        <f>MINA(INDIRECT(ADDRESS(ROW(),COLUMN(newark_part_data)+2)),INDIRECT(ADDRESS(ROW(),COLUMN(digikey_part_data)+2)),INDIRECT(ADDRESS(ROW(),COLUMN(mouser_part_data)+2)))</f>
        <v>0</v>
      </c>
      <c r="I57" s="11">
        <f>iferror(G57*H57,"")</f>
        <v>0</v>
      </c>
      <c r="L57" s="11">
        <f>iferror(lookup(if(K57="",G57,K57),{0,1,10,100,1000,2500,5000,10000,20000,25000,30000,40000,50000,60000,100000,125000},{0.0,0.1,0.035,0.0142,0.00637,0.00553,0.00457,0.00361,0.00361,0.00317,0.00317,0.00317,0.00291,0.00291,0.00285,0.00285}),"")</f>
        <v>0</v>
      </c>
      <c r="M57" s="11">
        <f>iferror(if(K57="",G57,K57)*L57,"")</f>
        <v>0</v>
      </c>
      <c r="N57" t="s">
        <v>282</v>
      </c>
      <c r="O57" s="12" t="s">
        <v>249</v>
      </c>
      <c r="X57" s="11">
        <f>iferror(lookup(if(W57="",G57,W57),{0,1,5000},{0.0,0.006,0.006}),"")</f>
        <v>0</v>
      </c>
      <c r="Y57" s="11">
        <f>iferror(if(W57="",G57,W57)*X57,"")</f>
        <v>0</v>
      </c>
      <c r="Z57" t="s">
        <v>344</v>
      </c>
      <c r="AA57" s="12" t="s">
        <v>249</v>
      </c>
    </row>
    <row r="58" spans="1:27">
      <c r="A58" t="s">
        <v>180</v>
      </c>
      <c r="B58" t="s">
        <v>183</v>
      </c>
      <c r="D58" t="s">
        <v>182</v>
      </c>
      <c r="E58" t="s">
        <v>20</v>
      </c>
      <c r="F58" t="s">
        <v>181</v>
      </c>
      <c r="G58">
        <f>BoardQty*1</f>
        <v>0</v>
      </c>
      <c r="H58" s="11">
        <f>MINA(INDIRECT(ADDRESS(ROW(),COLUMN(newark_part_data)+2)),INDIRECT(ADDRESS(ROW(),COLUMN(digikey_part_data)+2)),INDIRECT(ADDRESS(ROW(),COLUMN(mouser_part_data)+2)))</f>
        <v>0</v>
      </c>
      <c r="I58" s="11">
        <f>iferror(G58*H58,"")</f>
        <v>0</v>
      </c>
      <c r="L58" s="11">
        <f>iferror(lookup(if(K58="",G58,K58),{0,1,10,100,500,1000,2500},{0.0,1.77,1.594,1.2812,1.05266,0.8722,0.73}),"")</f>
        <v>0</v>
      </c>
      <c r="M58" s="11">
        <f>iferror(if(K58="",G58,K58)*L58,"")</f>
        <v>0</v>
      </c>
      <c r="N58" t="s">
        <v>283</v>
      </c>
      <c r="O58" s="12" t="s">
        <v>249</v>
      </c>
      <c r="X58" s="11">
        <f>iferror(lookup(if(W58="",G58,W58),{0,1,100,250,500,1000},{0.0,1.61,1.29,1.17,1.08,0.993}),"")</f>
        <v>0</v>
      </c>
      <c r="Y58" s="11">
        <f>iferror(if(W58="",G58,W58)*X58,"")</f>
        <v>0</v>
      </c>
      <c r="Z58" t="s">
        <v>345</v>
      </c>
      <c r="AA58" s="12" t="s">
        <v>249</v>
      </c>
    </row>
    <row r="59" spans="1:27">
      <c r="A59" t="s">
        <v>184</v>
      </c>
      <c r="B59" t="s">
        <v>59</v>
      </c>
      <c r="D59" t="s">
        <v>13</v>
      </c>
      <c r="G59">
        <f>BoardQty*1</f>
        <v>0</v>
      </c>
      <c r="H59" s="11">
        <f>MINA(INDIRECT(ADDRESS(ROW(),COLUMN(newark_part_data)+2)),INDIRECT(ADDRESS(ROW(),COLUMN(digikey_part_data)+2)),INDIRECT(ADDRESS(ROW(),COLUMN(mouser_part_data)+2)))</f>
        <v>0</v>
      </c>
      <c r="I59" s="11">
        <f>iferror(G59*H59,"")</f>
        <v>0</v>
      </c>
    </row>
    <row r="60" spans="1:27">
      <c r="A60" t="s">
        <v>185</v>
      </c>
      <c r="B60" t="s">
        <v>189</v>
      </c>
      <c r="D60" t="s">
        <v>188</v>
      </c>
      <c r="E60" t="s">
        <v>187</v>
      </c>
      <c r="F60" t="s">
        <v>186</v>
      </c>
      <c r="G60">
        <f>BoardQty*1</f>
        <v>0</v>
      </c>
      <c r="H60" s="11">
        <f>MINA(INDIRECT(ADDRESS(ROW(),COLUMN(newark_part_data)+2)),INDIRECT(ADDRESS(ROW(),COLUMN(digikey_part_data)+2)),INDIRECT(ADDRESS(ROW(),COLUMN(mouser_part_data)+2)))</f>
        <v>0</v>
      </c>
      <c r="I60" s="11">
        <f>iferror(G60*H60,"")</f>
        <v>0</v>
      </c>
      <c r="J60">
        <v>5261</v>
      </c>
      <c r="L60" s="11">
        <f>iferror(lookup(if(K60="",G60,K60),{0,1,10,50,100,500,1000,3000,5000,10000},{0.0,0.69,0.578,0.5198,0.462,0.4389,0.336,0.315,0.3045,0.294}),"")</f>
        <v>0</v>
      </c>
      <c r="M60" s="11">
        <f>iferror(if(K60="",G60,K60)*L60,"")</f>
        <v>0</v>
      </c>
      <c r="N60" t="s">
        <v>284</v>
      </c>
      <c r="O60" s="12" t="s">
        <v>249</v>
      </c>
      <c r="X60" s="11">
        <f>iferror(lookup(if(W60="",G60,W60),{0,1,10,50,100,500},{0.0,1.04,0.92,0.859,0.76,0.719}),"")</f>
        <v>0</v>
      </c>
      <c r="Y60" s="11">
        <f>iferror(if(W60="",G60,W60)*X60,"")</f>
        <v>0</v>
      </c>
      <c r="Z60" t="s">
        <v>346</v>
      </c>
      <c r="AA60" s="12" t="s">
        <v>249</v>
      </c>
    </row>
    <row r="61" spans="1:27">
      <c r="A61" t="s">
        <v>190</v>
      </c>
      <c r="B61" t="s">
        <v>192</v>
      </c>
      <c r="D61" t="s">
        <v>13</v>
      </c>
      <c r="E61" t="s">
        <v>12</v>
      </c>
      <c r="F61" t="s">
        <v>191</v>
      </c>
      <c r="G61">
        <f>BoardQty*1</f>
        <v>0</v>
      </c>
      <c r="H61" s="11">
        <f>MINA(INDIRECT(ADDRESS(ROW(),COLUMN(newark_part_data)+2)),INDIRECT(ADDRESS(ROW(),COLUMN(digikey_part_data)+2)),INDIRECT(ADDRESS(ROW(),COLUMN(mouser_part_data)+2)))</f>
        <v>0</v>
      </c>
      <c r="I61" s="11">
        <f>iferror(G61*H61,"")</f>
        <v>0</v>
      </c>
      <c r="J61">
        <v>38221</v>
      </c>
      <c r="L61" s="11">
        <f>iferror(lookup(if(K61="",G61,K61),{0,1,10,100,1000,2500,5000,10000,25000,50000,125000},{0.0,0.1,0.022,0.0088,0.00396,0.00344,0.00284,0.00247,0.00217,0.00199,0.00195}),"")</f>
        <v>0</v>
      </c>
      <c r="M61" s="11">
        <f>iferror(if(K61="",G61,K61)*L61,"")</f>
        <v>0</v>
      </c>
      <c r="N61" t="s">
        <v>285</v>
      </c>
      <c r="O61" s="12" t="s">
        <v>249</v>
      </c>
      <c r="X61" s="11">
        <f>iferror(lookup(if(W61="",G61,W61),{0,1,5000,10000,15000},{0.0,0.005,0.005,0.004,0.003}),"")</f>
        <v>0</v>
      </c>
      <c r="Y61" s="11">
        <f>iferror(if(W61="",G61,W61)*X61,"")</f>
        <v>0</v>
      </c>
      <c r="Z61" t="s">
        <v>347</v>
      </c>
      <c r="AA61" s="12" t="s">
        <v>249</v>
      </c>
    </row>
    <row r="62" spans="1:27">
      <c r="A62" t="s">
        <v>193</v>
      </c>
      <c r="B62" t="s">
        <v>195</v>
      </c>
      <c r="D62" t="s">
        <v>194</v>
      </c>
      <c r="G62">
        <f>BoardQty*1</f>
        <v>0</v>
      </c>
      <c r="H62" s="11">
        <f>MINA(INDIRECT(ADDRESS(ROW(),COLUMN(newark_part_data)+2)),INDIRECT(ADDRESS(ROW(),COLUMN(digikey_part_data)+2)),INDIRECT(ADDRESS(ROW(),COLUMN(mouser_part_data)+2)))</f>
        <v>0</v>
      </c>
      <c r="I62" s="11">
        <f>iferror(G62*H62,"")</f>
        <v>0</v>
      </c>
    </row>
    <row r="63" spans="1:27">
      <c r="A63" t="s">
        <v>196</v>
      </c>
      <c r="B63" t="s">
        <v>197</v>
      </c>
      <c r="D63" t="s">
        <v>13</v>
      </c>
      <c r="E63" t="s">
        <v>82</v>
      </c>
      <c r="F63" t="s">
        <v>81</v>
      </c>
      <c r="G63">
        <f>BoardQty*1</f>
        <v>0</v>
      </c>
      <c r="H63" s="11">
        <f>MINA(INDIRECT(ADDRESS(ROW(),COLUMN(newark_part_data)+2)),INDIRECT(ADDRESS(ROW(),COLUMN(digikey_part_data)+2)),INDIRECT(ADDRESS(ROW(),COLUMN(mouser_part_data)+2)))</f>
        <v>0</v>
      </c>
      <c r="I63" s="11">
        <f>iferror(G63*H63,"")</f>
        <v>0</v>
      </c>
      <c r="J63">
        <v>268519</v>
      </c>
      <c r="L63" s="11">
        <f>iferror(lookup(if(K63="",G63,K63),{0,1,10,25,50,100,250,500,1000,4000,8000,12000,28000,100000},{0.0,0.11,0.091,0.0704,0.0584,0.0503,0.04028,0.03624,0.0302,0.02745,0.02562,0.02379,0.02352,0.02288}),"")</f>
        <v>0</v>
      </c>
      <c r="M63" s="11">
        <f>iferror(if(K63="",G63,K63)*L63,"")</f>
        <v>0</v>
      </c>
      <c r="N63" t="s">
        <v>262</v>
      </c>
      <c r="O63" s="12" t="s">
        <v>249</v>
      </c>
      <c r="X63" s="11">
        <f>iferror(lookup(if(W63="",G63,W63),{0,1,25,50,100,250,500,1000},{0.0,0.12,0.101,0.079,0.057,0.048,0.038,0.032}),"")</f>
        <v>0</v>
      </c>
      <c r="Y63" s="11">
        <f>iferror(if(W63="",G63,W63)*X63,"")</f>
        <v>0</v>
      </c>
      <c r="Z63" t="s">
        <v>328</v>
      </c>
      <c r="AA63" s="12" t="s">
        <v>249</v>
      </c>
    </row>
    <row r="64" spans="1:27">
      <c r="A64" t="s">
        <v>198</v>
      </c>
      <c r="B64" t="s">
        <v>199</v>
      </c>
      <c r="D64" t="s">
        <v>194</v>
      </c>
      <c r="G64">
        <f>BoardQty*1</f>
        <v>0</v>
      </c>
      <c r="H64" s="11">
        <f>MINA(INDIRECT(ADDRESS(ROW(),COLUMN(newark_part_data)+2)),INDIRECT(ADDRESS(ROW(),COLUMN(digikey_part_data)+2)),INDIRECT(ADDRESS(ROW(),COLUMN(mouser_part_data)+2)))</f>
        <v>0</v>
      </c>
      <c r="I64" s="11">
        <f>iferror(G64*H64,"")</f>
        <v>0</v>
      </c>
    </row>
    <row r="65" spans="1:27">
      <c r="A65" t="s">
        <v>200</v>
      </c>
      <c r="B65" t="s">
        <v>202</v>
      </c>
      <c r="D65" t="s">
        <v>201</v>
      </c>
      <c r="G65">
        <f>BoardQty*1</f>
        <v>0</v>
      </c>
      <c r="H65" s="11">
        <f>MINA(INDIRECT(ADDRESS(ROW(),COLUMN(newark_part_data)+2)),INDIRECT(ADDRESS(ROW(),COLUMN(digikey_part_data)+2)),INDIRECT(ADDRESS(ROW(),COLUMN(mouser_part_data)+2)))</f>
        <v>0</v>
      </c>
      <c r="I65" s="11">
        <f>iferror(G65*H65,"")</f>
        <v>0</v>
      </c>
    </row>
    <row r="66" spans="1:27">
      <c r="A66" t="s">
        <v>203</v>
      </c>
      <c r="B66" t="s">
        <v>206</v>
      </c>
      <c r="D66" t="s">
        <v>205</v>
      </c>
      <c r="E66" t="s">
        <v>88</v>
      </c>
      <c r="F66" t="s">
        <v>204</v>
      </c>
      <c r="G66">
        <f>BoardQty*1</f>
        <v>0</v>
      </c>
      <c r="H66" s="11">
        <f>MINA(INDIRECT(ADDRESS(ROW(),COLUMN(newark_part_data)+2)),INDIRECT(ADDRESS(ROW(),COLUMN(digikey_part_data)+2)),INDIRECT(ADDRESS(ROW(),COLUMN(mouser_part_data)+2)))</f>
        <v>0</v>
      </c>
      <c r="I66" s="11">
        <f>iferror(G66*H66,"")</f>
        <v>0</v>
      </c>
      <c r="L66" s="11">
        <f>iferror(lookup(if(K66="",G66,K66),{0,1,10,25,50,100,250,500,1000,5000,10000,25000,50000,125000},{0.0,0.39,0.297,0.2256,0.1678,0.1247,0.10536,0.0903,0.0688,0.05805,0.05676,0.05483,0.05375,0.05323}),"")</f>
        <v>0</v>
      </c>
      <c r="M66" s="11">
        <f>iferror(if(K66="",G66,K66)*L66,"")</f>
        <v>0</v>
      </c>
      <c r="N66" t="s">
        <v>286</v>
      </c>
      <c r="O66" s="12" t="s">
        <v>249</v>
      </c>
    </row>
    <row r="67" spans="1:27">
      <c r="A67" t="s">
        <v>207</v>
      </c>
      <c r="B67" t="s">
        <v>209</v>
      </c>
      <c r="D67" t="s">
        <v>37</v>
      </c>
      <c r="E67" t="s">
        <v>88</v>
      </c>
      <c r="F67" t="s">
        <v>208</v>
      </c>
      <c r="G67">
        <f>BoardQty*2</f>
        <v>0</v>
      </c>
      <c r="H67" s="11">
        <f>MINA(INDIRECT(ADDRESS(ROW(),COLUMN(newark_part_data)+2)),INDIRECT(ADDRESS(ROW(),COLUMN(digikey_part_data)+2)),INDIRECT(ADDRESS(ROW(),COLUMN(mouser_part_data)+2)))</f>
        <v>0</v>
      </c>
      <c r="I67" s="11">
        <f>iferror(G67*H67,"")</f>
        <v>0</v>
      </c>
      <c r="J67">
        <v>1503299</v>
      </c>
      <c r="L67" s="11">
        <f>iferror(lookup(if(K67="",G67,K67),{0,1,10,100,500,1000,4000,8000,12000},{0.0,0.1,0.045,0.0199,0.01424,0.01119,0.00936,0.00855,0.00814}),"")</f>
        <v>0</v>
      </c>
      <c r="M67" s="11">
        <f>iferror(if(K67="",G67,K67)*L67,"")</f>
        <v>0</v>
      </c>
      <c r="N67" t="s">
        <v>287</v>
      </c>
      <c r="O67" s="12" t="s">
        <v>249</v>
      </c>
    </row>
    <row r="68" spans="1:27">
      <c r="A68" t="s">
        <v>210</v>
      </c>
      <c r="B68" t="s">
        <v>100</v>
      </c>
      <c r="D68" t="s">
        <v>212</v>
      </c>
      <c r="E68" t="s">
        <v>164</v>
      </c>
      <c r="F68" t="s">
        <v>211</v>
      </c>
      <c r="G68">
        <f>BoardQty*1</f>
        <v>0</v>
      </c>
      <c r="H68" s="11">
        <f>MINA(INDIRECT(ADDRESS(ROW(),COLUMN(newark_part_data)+2)),INDIRECT(ADDRESS(ROW(),COLUMN(digikey_part_data)+2)),INDIRECT(ADDRESS(ROW(),COLUMN(mouser_part_data)+2)))</f>
        <v>0</v>
      </c>
      <c r="I68" s="11">
        <f>iferror(G68*H68,"")</f>
        <v>0</v>
      </c>
      <c r="J68">
        <v>5702</v>
      </c>
      <c r="L68" s="11">
        <f>iferror(lookup(if(K68="",G68,K68),{0,1,10,25,50,100,250,500,1000,3000,6000},{0.0,0.3,0.287,0.2772,0.2674,0.2525,0.2376,0.2277,0.17325,0.1575,0.1305}),"")</f>
        <v>0</v>
      </c>
      <c r="M68" s="11">
        <f>iferror(if(K68="",G68,K68)*L68,"")</f>
        <v>0</v>
      </c>
      <c r="N68" t="s">
        <v>288</v>
      </c>
      <c r="O68" s="12" t="s">
        <v>249</v>
      </c>
    </row>
    <row r="69" spans="1:27">
      <c r="A69" t="s">
        <v>213</v>
      </c>
      <c r="B69" t="s">
        <v>209</v>
      </c>
      <c r="D69" t="s">
        <v>37</v>
      </c>
      <c r="E69" t="s">
        <v>88</v>
      </c>
      <c r="F69" t="s">
        <v>208</v>
      </c>
      <c r="G69">
        <f>BoardQty*1</f>
        <v>0</v>
      </c>
      <c r="H69" s="11">
        <f>MINA(INDIRECT(ADDRESS(ROW(),COLUMN(newark_part_data)+2)),INDIRECT(ADDRESS(ROW(),COLUMN(digikey_part_data)+2)),INDIRECT(ADDRESS(ROW(),COLUMN(mouser_part_data)+2)))</f>
        <v>0</v>
      </c>
      <c r="I69" s="11">
        <f>iferror(G69*H69,"")</f>
        <v>0</v>
      </c>
      <c r="J69">
        <v>1503299</v>
      </c>
      <c r="L69" s="11">
        <f>iferror(lookup(if(K69="",G69,K69),{0,1,10,100,500,1000,4000,8000,12000},{0.0,0.1,0.045,0.0199,0.01424,0.01119,0.00936,0.00855,0.00814}),"")</f>
        <v>0</v>
      </c>
      <c r="M69" s="11">
        <f>iferror(if(K69="",G69,K69)*L69,"")</f>
        <v>0</v>
      </c>
      <c r="N69" t="s">
        <v>287</v>
      </c>
      <c r="O69" s="12" t="s">
        <v>249</v>
      </c>
    </row>
    <row r="70" spans="1:27">
      <c r="A70" t="s">
        <v>214</v>
      </c>
      <c r="B70" t="s">
        <v>218</v>
      </c>
      <c r="D70" t="s">
        <v>217</v>
      </c>
      <c r="E70" t="s">
        <v>216</v>
      </c>
      <c r="F70" t="s">
        <v>215</v>
      </c>
      <c r="G70">
        <f>BoardQty*1</f>
        <v>0</v>
      </c>
      <c r="H70" s="11">
        <f>MINA(INDIRECT(ADDRESS(ROW(),COLUMN(newark_part_data)+2)),INDIRECT(ADDRESS(ROW(),COLUMN(digikey_part_data)+2)),INDIRECT(ADDRESS(ROW(),COLUMN(mouser_part_data)+2)))</f>
        <v>0</v>
      </c>
      <c r="I70" s="11">
        <f>iferror(G70*H70,"")</f>
        <v>0</v>
      </c>
      <c r="L70" s="11">
        <f>iferror(lookup(if(K70="",G70,K70),{0,1,10,25,100,250,500,1000,2500,5000,12500},{0.0,1.74,1.569,1.4008,1.2607,1.12064,0.98056,0.81246,0.7344,0.7072,0.68}),"")</f>
        <v>0</v>
      </c>
      <c r="M70" s="11">
        <f>iferror(if(K70="",G70,K70)*L70,"")</f>
        <v>0</v>
      </c>
      <c r="N70" t="s">
        <v>289</v>
      </c>
      <c r="O70" s="12" t="s">
        <v>249</v>
      </c>
      <c r="X70" s="11">
        <f>iferror(lookup(if(W70="",G70,W70),{0,1,100,250,500,1000},{0.0,1.5,1.2,1.09,0.999,0.925}),"")</f>
        <v>0</v>
      </c>
      <c r="Y70" s="11">
        <f>iferror(if(W70="",G70,W70)*X70,"")</f>
        <v>0</v>
      </c>
      <c r="Z70" t="s">
        <v>348</v>
      </c>
      <c r="AA70" s="12" t="s">
        <v>249</v>
      </c>
    </row>
    <row r="71" spans="1:27">
      <c r="A71" t="s">
        <v>219</v>
      </c>
      <c r="B71" t="s">
        <v>220</v>
      </c>
      <c r="D71" t="s">
        <v>222</v>
      </c>
      <c r="E71" t="s">
        <v>221</v>
      </c>
      <c r="F71" t="s">
        <v>220</v>
      </c>
      <c r="G71">
        <f>BoardQty*1</f>
        <v>0</v>
      </c>
      <c r="H71" s="11">
        <f>MINA(INDIRECT(ADDRESS(ROW(),COLUMN(newark_part_data)+2)),INDIRECT(ADDRESS(ROW(),COLUMN(digikey_part_data)+2)),INDIRECT(ADDRESS(ROW(),COLUMN(mouser_part_data)+2)))</f>
        <v>0</v>
      </c>
      <c r="I71" s="11">
        <f>iferror(G71*H71,"")</f>
        <v>0</v>
      </c>
      <c r="J71">
        <v>31098</v>
      </c>
      <c r="L71" s="11">
        <f>iferror(lookup(if(K71="",G71,K71),{0,1,10,100,500,1000,3000,6000,15000,30000,75000,150000},{0.0,0.29,0.234,0.1239,0.0815,0.05542,0.04854,0.04221,0.03588,0.03377,0.03166,0.02814}),"")</f>
        <v>0</v>
      </c>
      <c r="M71" s="11">
        <f>iferror(if(K71="",G71,K71)*L71,"")</f>
        <v>0</v>
      </c>
      <c r="N71" t="s">
        <v>290</v>
      </c>
      <c r="O71" s="12" t="s">
        <v>249</v>
      </c>
      <c r="X71" s="11">
        <f>iferror(lookup(if(W71="",G71,W71),{0,1,25,50,100,250,500,1000},{0.0,0.21,0.138,0.098,0.058,0.052,0.046,0.04}),"")</f>
        <v>0</v>
      </c>
      <c r="Y71" s="11">
        <f>iferror(if(W71="",G71,W71)*X71,"")</f>
        <v>0</v>
      </c>
      <c r="Z71" t="s">
        <v>349</v>
      </c>
      <c r="AA71" s="12" t="s">
        <v>249</v>
      </c>
    </row>
    <row r="72" spans="1:27">
      <c r="A72" t="s">
        <v>223</v>
      </c>
      <c r="B72" t="s">
        <v>103</v>
      </c>
      <c r="D72" t="s">
        <v>58</v>
      </c>
      <c r="E72" t="s">
        <v>12</v>
      </c>
      <c r="F72" t="s">
        <v>102</v>
      </c>
      <c r="G72">
        <f>BoardQty*7</f>
        <v>0</v>
      </c>
      <c r="H72" s="11">
        <f>MINA(INDIRECT(ADDRESS(ROW(),COLUMN(newark_part_data)+2)),INDIRECT(ADDRESS(ROW(),COLUMN(digikey_part_data)+2)),INDIRECT(ADDRESS(ROW(),COLUMN(mouser_part_data)+2)))</f>
        <v>0</v>
      </c>
      <c r="I72" s="11">
        <f>iferror(G72*H72,"")</f>
        <v>0</v>
      </c>
      <c r="J72">
        <v>775136</v>
      </c>
      <c r="L72" s="11">
        <f>iferror(lookup(if(K72="",G72,K72),{0,1,10,100,1000,2500,5000,10000,25000,50000,125000},{0.0,0.1,0.011,0.0046,0.00207,0.0018,0.00149,0.00129,0.00113,0.00104,0.00102}),"")</f>
        <v>0</v>
      </c>
      <c r="M72" s="11">
        <f>iferror(if(K72="",G72,K72)*L72,"")</f>
        <v>0</v>
      </c>
      <c r="N72" t="s">
        <v>266</v>
      </c>
      <c r="O72" s="12" t="s">
        <v>249</v>
      </c>
      <c r="X72" s="11">
        <f>iferror(lookup(if(W72="",G72,W72),{0,1,10,25,100,250,1000},{0.0,0.06,0.01,0.007,0.004,0.003,0.002}),"")</f>
        <v>0</v>
      </c>
      <c r="Y72" s="11">
        <f>iferror(if(W72="",G72,W72)*X72,"")</f>
        <v>0</v>
      </c>
      <c r="Z72" t="s">
        <v>330</v>
      </c>
      <c r="AA72" s="12" t="s">
        <v>249</v>
      </c>
    </row>
    <row r="73" spans="1:27">
      <c r="A73" t="s">
        <v>224</v>
      </c>
      <c r="B73" t="s">
        <v>226</v>
      </c>
      <c r="D73" t="s">
        <v>13</v>
      </c>
      <c r="E73" t="s">
        <v>12</v>
      </c>
      <c r="F73" t="s">
        <v>225</v>
      </c>
      <c r="G73">
        <f>BoardQty*1</f>
        <v>0</v>
      </c>
      <c r="H73" s="11">
        <f>MINA(INDIRECT(ADDRESS(ROW(),COLUMN(newark_part_data)+2)),INDIRECT(ADDRESS(ROW(),COLUMN(digikey_part_data)+2)),INDIRECT(ADDRESS(ROW(),COLUMN(mouser_part_data)+2)))</f>
        <v>0</v>
      </c>
      <c r="I73" s="11">
        <f>iferror(G73*H73,"")</f>
        <v>0</v>
      </c>
      <c r="J73">
        <v>1284</v>
      </c>
      <c r="L73" s="11">
        <f>iferror(lookup(if(K73="",G73,K73),{0,1,10,100,1000,2500,5000,10000,25000,50000,125000},{0.0,0.1,0.023,0.0095,0.00427,0.0037,0.00277,0.00241,0.00212,0.00194,0.0019}),"")</f>
        <v>0</v>
      </c>
      <c r="M73" s="11">
        <f>iferror(if(K73="",G73,K73)*L73,"")</f>
        <v>0</v>
      </c>
      <c r="N73" t="s">
        <v>291</v>
      </c>
      <c r="O73" s="12" t="s">
        <v>249</v>
      </c>
    </row>
    <row r="74" spans="1:27">
      <c r="A74" t="s">
        <v>227</v>
      </c>
      <c r="B74" t="s">
        <v>231</v>
      </c>
      <c r="D74" t="s">
        <v>230</v>
      </c>
      <c r="E74" t="s">
        <v>229</v>
      </c>
      <c r="F74" t="s">
        <v>228</v>
      </c>
      <c r="G74">
        <f>BoardQty*1</f>
        <v>0</v>
      </c>
      <c r="H74" s="11">
        <f>MINA(INDIRECT(ADDRESS(ROW(),COLUMN(newark_part_data)+2)),INDIRECT(ADDRESS(ROW(),COLUMN(digikey_part_data)+2)),INDIRECT(ADDRESS(ROW(),COLUMN(mouser_part_data)+2)))</f>
        <v>0</v>
      </c>
      <c r="I74" s="11">
        <f>iferror(G74*H74,"")</f>
        <v>0</v>
      </c>
      <c r="J74">
        <v>13958</v>
      </c>
      <c r="L74" s="11">
        <f>iferror(lookup(if(K74="",G74,K74),{0,1,10,100,500,1000,5000,10000},{0.0,1.84,1.666,1.428,1.19,1.02,0.9044,0.884}),"")</f>
        <v>0</v>
      </c>
      <c r="M74" s="11">
        <f>iferror(if(K74="",G74,K74)*L74,"")</f>
        <v>0</v>
      </c>
      <c r="N74" t="s">
        <v>292</v>
      </c>
      <c r="O74" s="12" t="s">
        <v>249</v>
      </c>
      <c r="X74" s="11">
        <f>iferror(lookup(if(W74="",G74,W74),{0,1,10,100,500,1000,5000,10000},{0.0,1.47,1.27,1.07,0.902,0.819,0.81,0.8}),"")</f>
        <v>0</v>
      </c>
      <c r="Y74" s="11">
        <f>iferror(if(W74="",G74,W74)*X74,"")</f>
        <v>0</v>
      </c>
      <c r="Z74" t="s">
        <v>350</v>
      </c>
      <c r="AA74" s="12" t="s">
        <v>249</v>
      </c>
    </row>
    <row r="75" spans="1:27">
      <c r="A75" t="s">
        <v>232</v>
      </c>
      <c r="B75" t="s">
        <v>235</v>
      </c>
      <c r="D75" t="s">
        <v>55</v>
      </c>
      <c r="E75" t="s">
        <v>234</v>
      </c>
      <c r="F75" t="s">
        <v>233</v>
      </c>
      <c r="G75">
        <f>BoardQty*1</f>
        <v>0</v>
      </c>
      <c r="H75" s="11">
        <f>MINA(INDIRECT(ADDRESS(ROW(),COLUMN(newark_part_data)+2)),INDIRECT(ADDRESS(ROW(),COLUMN(digikey_part_data)+2)),INDIRECT(ADDRESS(ROW(),COLUMN(mouser_part_data)+2)))</f>
        <v>0</v>
      </c>
      <c r="I75" s="11">
        <f>iferror(G75*H75,"")</f>
        <v>0</v>
      </c>
      <c r="J75">
        <v>396</v>
      </c>
      <c r="L75" s="11">
        <f>iferror(lookup(if(K75="",G75,K75),{0,1,10,100,500,1000,3000,6000,9000},{0.0,0.38,0.267,0.1601,0.12012,0.10143,0.08356,0.07891,0.07427}),"")</f>
        <v>0</v>
      </c>
      <c r="M75" s="11">
        <f>iferror(if(K75="",G75,K75)*L75,"")</f>
        <v>0</v>
      </c>
      <c r="N75" t="s">
        <v>293</v>
      </c>
      <c r="O75" s="12" t="s">
        <v>249</v>
      </c>
      <c r="X75" s="11">
        <f>iferror(lookup(if(W75="",G75,W75),{0,1,3000,6000,9000,15000},{0.0,0.064,0.064,0.061,0.059,0.051}),"")</f>
        <v>0</v>
      </c>
      <c r="Y75" s="11">
        <f>iferror(if(W75="",G75,W75)*X75,"")</f>
        <v>0</v>
      </c>
      <c r="Z75" t="s">
        <v>351</v>
      </c>
      <c r="AA75" s="12" t="s">
        <v>249</v>
      </c>
    </row>
    <row r="76" spans="1:27">
      <c r="A76" t="s">
        <v>236</v>
      </c>
      <c r="B76" t="s">
        <v>235</v>
      </c>
      <c r="D76" t="s">
        <v>55</v>
      </c>
      <c r="E76" t="s">
        <v>234</v>
      </c>
      <c r="F76" t="s">
        <v>233</v>
      </c>
      <c r="G76">
        <f>BoardQty*1</f>
        <v>0</v>
      </c>
      <c r="H76" s="11">
        <f>MINA(INDIRECT(ADDRESS(ROW(),COLUMN(newark_part_data)+2)),INDIRECT(ADDRESS(ROW(),COLUMN(digikey_part_data)+2)),INDIRECT(ADDRESS(ROW(),COLUMN(mouser_part_data)+2)))</f>
        <v>0</v>
      </c>
      <c r="I76" s="11">
        <f>iferror(G76*H76,"")</f>
        <v>0</v>
      </c>
      <c r="J76">
        <v>396</v>
      </c>
      <c r="L76" s="11">
        <f>iferror(lookup(if(K76="",G76,K76),{0,1,10,100,500,1000,3000,6000,9000},{0.0,0.38,0.267,0.1601,0.12012,0.10143,0.08356,0.07891,0.07427}),"")</f>
        <v>0</v>
      </c>
      <c r="M76" s="11">
        <f>iferror(if(K76="",G76,K76)*L76,"")</f>
        <v>0</v>
      </c>
      <c r="N76" t="s">
        <v>293</v>
      </c>
      <c r="O76" s="12" t="s">
        <v>249</v>
      </c>
      <c r="X76" s="11">
        <f>iferror(lookup(if(W76="",G76,W76),{0,1,3000,6000,9000,15000},{0.0,0.064,0.064,0.061,0.059,0.051}),"")</f>
        <v>0</v>
      </c>
      <c r="Y76" s="11">
        <f>iferror(if(W76="",G76,W76)*X76,"")</f>
        <v>0</v>
      </c>
      <c r="Z76" t="s">
        <v>351</v>
      </c>
      <c r="AA76" s="12" t="s">
        <v>249</v>
      </c>
    </row>
    <row r="77" spans="1:27">
      <c r="A77" t="s">
        <v>237</v>
      </c>
      <c r="B77" t="s">
        <v>85</v>
      </c>
      <c r="D77" t="s">
        <v>58</v>
      </c>
      <c r="G77">
        <f>BoardQty*5</f>
        <v>0</v>
      </c>
      <c r="H77" s="11">
        <f>MINA(INDIRECT(ADDRESS(ROW(),COLUMN(newark_part_data)+2)),INDIRECT(ADDRESS(ROW(),COLUMN(digikey_part_data)+2)),INDIRECT(ADDRESS(ROW(),COLUMN(mouser_part_data)+2)))</f>
        <v>0</v>
      </c>
      <c r="I77" s="11">
        <f>iferror(G77*H77,"")</f>
        <v>0</v>
      </c>
    </row>
    <row r="78" spans="1:27">
      <c r="A78" t="s">
        <v>238</v>
      </c>
      <c r="B78" t="s">
        <v>240</v>
      </c>
      <c r="D78" t="s">
        <v>13</v>
      </c>
      <c r="E78" t="s">
        <v>12</v>
      </c>
      <c r="F78" t="s">
        <v>239</v>
      </c>
      <c r="G78">
        <f>BoardQty*1</f>
        <v>0</v>
      </c>
      <c r="H78" s="11">
        <f>MINA(INDIRECT(ADDRESS(ROW(),COLUMN(newark_part_data)+2)),INDIRECT(ADDRESS(ROW(),COLUMN(digikey_part_data)+2)),INDIRECT(ADDRESS(ROW(),COLUMN(mouser_part_data)+2)))</f>
        <v>0</v>
      </c>
      <c r="I78" s="11">
        <f>iferror(G78*H78,"")</f>
        <v>0</v>
      </c>
      <c r="J78">
        <v>165446</v>
      </c>
      <c r="L78" s="11">
        <f>iferror(lookup(if(K78="",G78,K78),{0,1,10,100,1000,2500,5000,10000,25000,50000,125000},{0.0,0.1,0.022,0.0088,0.00396,0.00344,0.00284,0.00247,0.00217,0.00199,0.00195}),"")</f>
        <v>0</v>
      </c>
      <c r="M78" s="11">
        <f>iferror(if(K78="",G78,K78)*L78,"")</f>
        <v>0</v>
      </c>
      <c r="N78" t="s">
        <v>294</v>
      </c>
      <c r="O78" s="12" t="s">
        <v>249</v>
      </c>
      <c r="X78" s="11">
        <f>iferror(lookup(if(W78="",G78,W78),{0,1,5000,10000,15000},{0.0,0.005,0.005,0.004,0.003}),"")</f>
        <v>0</v>
      </c>
      <c r="Y78" s="11">
        <f>iferror(if(W78="",G78,W78)*X78,"")</f>
        <v>0</v>
      </c>
      <c r="Z78" t="s">
        <v>352</v>
      </c>
      <c r="AA78" s="12" t="s">
        <v>249</v>
      </c>
    </row>
    <row r="80" spans="1:27">
      <c r="K80">
        <f t="array" ref="K80">IFERROR(CONCATENATE(TEXT(INDEX($K$7:$K$78,SMALL(IF($N$7:$N$78&lt;&gt;"",IF($K$7:$K$78&lt;&gt;"",ROW($K$7:$K$78)-MIN(ROW($K$7:$K$78))+1,""),""),ROW()-ROW(A$80)+1)),"##0"),","),"")</f>
        <v>0</v>
      </c>
      <c r="L80">
        <f t="array" ref="L80">IFERROR(CONCATENATE((INDEX($N$7:$N$78,SMALL(IF($N$7:$N$78&lt;&gt;"",IF($K$7:$K$78&lt;&gt;"",ROW($K$7:$K$78)-MIN(ROW($K$7:$K$78))+1,""),""),ROW()-ROW(A$80)+1))),","),"")</f>
        <v>0</v>
      </c>
      <c r="M80">
        <f t="array" ref="M80">IFERROR(CONCATENATE((INDEX($A$7:$A$78,SMALL(IF($N$7:$N$78&lt;&gt;"",IF($K$7:$K$78&lt;&gt;"",ROW($K$7:$K$78)-MIN(ROW($K$7:$K$78))+1,""),""),ROW()-ROW(A$80)+1))),),"")</f>
        <v>0</v>
      </c>
      <c r="Q80">
        <f t="array" ref="Q80">IFERROR(CONCATENATE((INDEX($T$7:$T$78,SMALL(IF($T$7:$T$78&lt;&gt;"",IF($Q$7:$Q$78&lt;&gt;"",ROW($Q$7:$Q$78)-MIN(ROW($Q$7:$Q$78))+1,""),""),ROW()-ROW(A$80)+1)))," "),"")</f>
        <v>0</v>
      </c>
      <c r="R80">
        <f t="array" ref="R80">IFERROR(CONCATENATE(TEXT(INDEX($Q$7:$Q$78,SMALL(IF($T$7:$T$78&lt;&gt;"",IF($Q$7:$Q$78&lt;&gt;"",ROW($Q$7:$Q$78)-MIN(ROW($Q$7:$Q$78))+1,""),""),ROW()-ROW(A$80)+1)),"##0")," "),"")</f>
        <v>0</v>
      </c>
      <c r="S80">
        <f t="array" ref="S80">IFERROR(CONCATENATE((INDEX($A$7:$A$78,SMALL(IF($T$7:$T$78&lt;&gt;"",IF($Q$7:$Q$78&lt;&gt;"",ROW($Q$7:$Q$78)-MIN(ROW($Q$7:$Q$78))+1,""),""),ROW()-ROW(A$80)+1))),),"")</f>
        <v>0</v>
      </c>
      <c r="W80">
        <f t="array" ref="W80">IFERROR(CONCATENATE((INDEX($Z$7:$Z$78,SMALL(IF($Z$7:$Z$78&lt;&gt;"",IF($W$7:$W$78&lt;&gt;"",ROW($W$7:$W$78)-MIN(ROW($W$7:$W$78))+1,""),""),ROW()-ROW(A$80)+1))),","),"")</f>
        <v>0</v>
      </c>
      <c r="X80">
        <f t="array" ref="X80">IFERROR(CONCATENATE(TEXT(INDEX($W$7:$W$78,SMALL(IF($Z$7:$Z$78&lt;&gt;"",IF($W$7:$W$78&lt;&gt;"",ROW($W$7:$W$78)-MIN(ROW($W$7:$W$78))+1,""),""),ROW()-ROW(A$80)+1)),"##0"),","),"")</f>
        <v>0</v>
      </c>
      <c r="Y80">
        <f t="array" ref="Y80">IFERROR(CONCATENATE((INDEX($A$7:$A$78,SMALL(IF($Z$7:$Z$78&lt;&gt;"",IF($W$7:$W$78&lt;&gt;"",ROW($W$7:$W$78)-MIN(ROW($W$7:$W$78))+1,""),""),ROW()-ROW(A$80)+1))),),"")</f>
        <v>0</v>
      </c>
    </row>
    <row r="81" spans="11:25">
      <c r="K81">
        <f t="array" ref="K81">IFERROR(CONCATENATE(TEXT(INDEX($K$7:$K$78,SMALL(IF($N$7:$N$78&lt;&gt;"",IF($K$7:$K$78&lt;&gt;"",ROW($K$7:$K$78)-MIN(ROW($K$7:$K$78))+1,""),""),ROW()-ROW(A$80)+1)),"##0"),","),"")</f>
        <v>0</v>
      </c>
      <c r="L81">
        <f t="array" ref="L81">IFERROR(CONCATENATE((INDEX($N$7:$N$78,SMALL(IF($N$7:$N$78&lt;&gt;"",IF($K$7:$K$78&lt;&gt;"",ROW($K$7:$K$78)-MIN(ROW($K$7:$K$78))+1,""),""),ROW()-ROW(A$80)+1))),","),"")</f>
        <v>0</v>
      </c>
      <c r="M81">
        <f t="array" ref="M81">IFERROR(CONCATENATE((INDEX($A$7:$A$78,SMALL(IF($N$7:$N$78&lt;&gt;"",IF($K$7:$K$78&lt;&gt;"",ROW($K$7:$K$78)-MIN(ROW($K$7:$K$78))+1,""),""),ROW()-ROW(A$80)+1))),),"")</f>
        <v>0</v>
      </c>
      <c r="Q81">
        <f t="array" ref="Q81">IFERROR(CONCATENATE((INDEX($T$7:$T$78,SMALL(IF($T$7:$T$78&lt;&gt;"",IF($Q$7:$Q$78&lt;&gt;"",ROW($Q$7:$Q$78)-MIN(ROW($Q$7:$Q$78))+1,""),""),ROW()-ROW(A$80)+1)))," "),"")</f>
        <v>0</v>
      </c>
      <c r="R81">
        <f t="array" ref="R81">IFERROR(CONCATENATE(TEXT(INDEX($Q$7:$Q$78,SMALL(IF($T$7:$T$78&lt;&gt;"",IF($Q$7:$Q$78&lt;&gt;"",ROW($Q$7:$Q$78)-MIN(ROW($Q$7:$Q$78))+1,""),""),ROW()-ROW(A$80)+1)),"##0")," "),"")</f>
        <v>0</v>
      </c>
      <c r="S81">
        <f t="array" ref="S81">IFERROR(CONCATENATE((INDEX($A$7:$A$78,SMALL(IF($T$7:$T$78&lt;&gt;"",IF($Q$7:$Q$78&lt;&gt;"",ROW($Q$7:$Q$78)-MIN(ROW($Q$7:$Q$78))+1,""),""),ROW()-ROW(A$80)+1))),),"")</f>
        <v>0</v>
      </c>
      <c r="W81">
        <f t="array" ref="W81">IFERROR(CONCATENATE((INDEX($Z$7:$Z$78,SMALL(IF($Z$7:$Z$78&lt;&gt;"",IF($W$7:$W$78&lt;&gt;"",ROW($W$7:$W$78)-MIN(ROW($W$7:$W$78))+1,""),""),ROW()-ROW(A$80)+1))),","),"")</f>
        <v>0</v>
      </c>
      <c r="X81">
        <f t="array" ref="X81">IFERROR(CONCATENATE(TEXT(INDEX($W$7:$W$78,SMALL(IF($Z$7:$Z$78&lt;&gt;"",IF($W$7:$W$78&lt;&gt;"",ROW($W$7:$W$78)-MIN(ROW($W$7:$W$78))+1,""),""),ROW()-ROW(A$80)+1)),"##0"),","),"")</f>
        <v>0</v>
      </c>
      <c r="Y81">
        <f t="array" ref="Y81">IFERROR(CONCATENATE((INDEX($A$7:$A$78,SMALL(IF($Z$7:$Z$78&lt;&gt;"",IF($W$7:$W$78&lt;&gt;"",ROW($W$7:$W$78)-MIN(ROW($W$7:$W$78))+1,""),""),ROW()-ROW(A$80)+1))),),"")</f>
        <v>0</v>
      </c>
    </row>
    <row r="82" spans="11:25">
      <c r="K82">
        <f t="array" ref="K82">IFERROR(CONCATENATE(TEXT(INDEX($K$7:$K$78,SMALL(IF($N$7:$N$78&lt;&gt;"",IF($K$7:$K$78&lt;&gt;"",ROW($K$7:$K$78)-MIN(ROW($K$7:$K$78))+1,""),""),ROW()-ROW(A$80)+1)),"##0"),","),"")</f>
        <v>0</v>
      </c>
      <c r="L82">
        <f t="array" ref="L82">IFERROR(CONCATENATE((INDEX($N$7:$N$78,SMALL(IF($N$7:$N$78&lt;&gt;"",IF($K$7:$K$78&lt;&gt;"",ROW($K$7:$K$78)-MIN(ROW($K$7:$K$78))+1,""),""),ROW()-ROW(A$80)+1))),","),"")</f>
        <v>0</v>
      </c>
      <c r="M82">
        <f t="array" ref="M82">IFERROR(CONCATENATE((INDEX($A$7:$A$78,SMALL(IF($N$7:$N$78&lt;&gt;"",IF($K$7:$K$78&lt;&gt;"",ROW($K$7:$K$78)-MIN(ROW($K$7:$K$78))+1,""),""),ROW()-ROW(A$80)+1))),),"")</f>
        <v>0</v>
      </c>
      <c r="Q82">
        <f t="array" ref="Q82">IFERROR(CONCATENATE((INDEX($T$7:$T$78,SMALL(IF($T$7:$T$78&lt;&gt;"",IF($Q$7:$Q$78&lt;&gt;"",ROW($Q$7:$Q$78)-MIN(ROW($Q$7:$Q$78))+1,""),""),ROW()-ROW(A$80)+1)))," "),"")</f>
        <v>0</v>
      </c>
      <c r="R82">
        <f t="array" ref="R82">IFERROR(CONCATENATE(TEXT(INDEX($Q$7:$Q$78,SMALL(IF($T$7:$T$78&lt;&gt;"",IF($Q$7:$Q$78&lt;&gt;"",ROW($Q$7:$Q$78)-MIN(ROW($Q$7:$Q$78))+1,""),""),ROW()-ROW(A$80)+1)),"##0")," "),"")</f>
        <v>0</v>
      </c>
      <c r="S82">
        <f t="array" ref="S82">IFERROR(CONCATENATE((INDEX($A$7:$A$78,SMALL(IF($T$7:$T$78&lt;&gt;"",IF($Q$7:$Q$78&lt;&gt;"",ROW($Q$7:$Q$78)-MIN(ROW($Q$7:$Q$78))+1,""),""),ROW()-ROW(A$80)+1))),),"")</f>
        <v>0</v>
      </c>
      <c r="W82">
        <f t="array" ref="W82">IFERROR(CONCATENATE((INDEX($Z$7:$Z$78,SMALL(IF($Z$7:$Z$78&lt;&gt;"",IF($W$7:$W$78&lt;&gt;"",ROW($W$7:$W$78)-MIN(ROW($W$7:$W$78))+1,""),""),ROW()-ROW(A$80)+1))),","),"")</f>
        <v>0</v>
      </c>
      <c r="X82">
        <f t="array" ref="X82">IFERROR(CONCATENATE(TEXT(INDEX($W$7:$W$78,SMALL(IF($Z$7:$Z$78&lt;&gt;"",IF($W$7:$W$78&lt;&gt;"",ROW($W$7:$W$78)-MIN(ROW($W$7:$W$78))+1,""),""),ROW()-ROW(A$80)+1)),"##0"),","),"")</f>
        <v>0</v>
      </c>
      <c r="Y82">
        <f t="array" ref="Y82">IFERROR(CONCATENATE((INDEX($A$7:$A$78,SMALL(IF($Z$7:$Z$78&lt;&gt;"",IF($W$7:$W$78&lt;&gt;"",ROW($W$7:$W$78)-MIN(ROW($W$7:$W$78))+1,""),""),ROW()-ROW(A$80)+1))),),"")</f>
        <v>0</v>
      </c>
    </row>
    <row r="83" spans="11:25">
      <c r="K83">
        <f t="array" ref="K83">IFERROR(CONCATENATE(TEXT(INDEX($K$7:$K$78,SMALL(IF($N$7:$N$78&lt;&gt;"",IF($K$7:$K$78&lt;&gt;"",ROW($K$7:$K$78)-MIN(ROW($K$7:$K$78))+1,""),""),ROW()-ROW(A$80)+1)),"##0"),","),"")</f>
        <v>0</v>
      </c>
      <c r="L83">
        <f t="array" ref="L83">IFERROR(CONCATENATE((INDEX($N$7:$N$78,SMALL(IF($N$7:$N$78&lt;&gt;"",IF($K$7:$K$78&lt;&gt;"",ROW($K$7:$K$78)-MIN(ROW($K$7:$K$78))+1,""),""),ROW()-ROW(A$80)+1))),","),"")</f>
        <v>0</v>
      </c>
      <c r="M83">
        <f t="array" ref="M83">IFERROR(CONCATENATE((INDEX($A$7:$A$78,SMALL(IF($N$7:$N$78&lt;&gt;"",IF($K$7:$K$78&lt;&gt;"",ROW($K$7:$K$78)-MIN(ROW($K$7:$K$78))+1,""),""),ROW()-ROW(A$80)+1))),),"")</f>
        <v>0</v>
      </c>
      <c r="Q83">
        <f t="array" ref="Q83">IFERROR(CONCATENATE((INDEX($T$7:$T$78,SMALL(IF($T$7:$T$78&lt;&gt;"",IF($Q$7:$Q$78&lt;&gt;"",ROW($Q$7:$Q$78)-MIN(ROW($Q$7:$Q$78))+1,""),""),ROW()-ROW(A$80)+1)))," "),"")</f>
        <v>0</v>
      </c>
      <c r="R83">
        <f t="array" ref="R83">IFERROR(CONCATENATE(TEXT(INDEX($Q$7:$Q$78,SMALL(IF($T$7:$T$78&lt;&gt;"",IF($Q$7:$Q$78&lt;&gt;"",ROW($Q$7:$Q$78)-MIN(ROW($Q$7:$Q$78))+1,""),""),ROW()-ROW(A$80)+1)),"##0")," "),"")</f>
        <v>0</v>
      </c>
      <c r="S83">
        <f t="array" ref="S83">IFERROR(CONCATENATE((INDEX($A$7:$A$78,SMALL(IF($T$7:$T$78&lt;&gt;"",IF($Q$7:$Q$78&lt;&gt;"",ROW($Q$7:$Q$78)-MIN(ROW($Q$7:$Q$78))+1,""),""),ROW()-ROW(A$80)+1))),),"")</f>
        <v>0</v>
      </c>
      <c r="W83">
        <f t="array" ref="W83">IFERROR(CONCATENATE((INDEX($Z$7:$Z$78,SMALL(IF($Z$7:$Z$78&lt;&gt;"",IF($W$7:$W$78&lt;&gt;"",ROW($W$7:$W$78)-MIN(ROW($W$7:$W$78))+1,""),""),ROW()-ROW(A$80)+1))),","),"")</f>
        <v>0</v>
      </c>
      <c r="X83">
        <f t="array" ref="X83">IFERROR(CONCATENATE(TEXT(INDEX($W$7:$W$78,SMALL(IF($Z$7:$Z$78&lt;&gt;"",IF($W$7:$W$78&lt;&gt;"",ROW($W$7:$W$78)-MIN(ROW($W$7:$W$78))+1,""),""),ROW()-ROW(A$80)+1)),"##0"),","),"")</f>
        <v>0</v>
      </c>
      <c r="Y83">
        <f t="array" ref="Y83">IFERROR(CONCATENATE((INDEX($A$7:$A$78,SMALL(IF($Z$7:$Z$78&lt;&gt;"",IF($W$7:$W$78&lt;&gt;"",ROW($W$7:$W$78)-MIN(ROW($W$7:$W$78))+1,""),""),ROW()-ROW(A$80)+1))),),"")</f>
        <v>0</v>
      </c>
    </row>
    <row r="84" spans="11:25">
      <c r="K84">
        <f t="array" ref="K84">IFERROR(CONCATENATE(TEXT(INDEX($K$7:$K$78,SMALL(IF($N$7:$N$78&lt;&gt;"",IF($K$7:$K$78&lt;&gt;"",ROW($K$7:$K$78)-MIN(ROW($K$7:$K$78))+1,""),""),ROW()-ROW(A$80)+1)),"##0"),","),"")</f>
        <v>0</v>
      </c>
      <c r="L84">
        <f t="array" ref="L84">IFERROR(CONCATENATE((INDEX($N$7:$N$78,SMALL(IF($N$7:$N$78&lt;&gt;"",IF($K$7:$K$78&lt;&gt;"",ROW($K$7:$K$78)-MIN(ROW($K$7:$K$78))+1,""),""),ROW()-ROW(A$80)+1))),","),"")</f>
        <v>0</v>
      </c>
      <c r="M84">
        <f t="array" ref="M84">IFERROR(CONCATENATE((INDEX($A$7:$A$78,SMALL(IF($N$7:$N$78&lt;&gt;"",IF($K$7:$K$78&lt;&gt;"",ROW($K$7:$K$78)-MIN(ROW($K$7:$K$78))+1,""),""),ROW()-ROW(A$80)+1))),),"")</f>
        <v>0</v>
      </c>
      <c r="Q84">
        <f t="array" ref="Q84">IFERROR(CONCATENATE((INDEX($T$7:$T$78,SMALL(IF($T$7:$T$78&lt;&gt;"",IF($Q$7:$Q$78&lt;&gt;"",ROW($Q$7:$Q$78)-MIN(ROW($Q$7:$Q$78))+1,""),""),ROW()-ROW(A$80)+1)))," "),"")</f>
        <v>0</v>
      </c>
      <c r="R84">
        <f t="array" ref="R84">IFERROR(CONCATENATE(TEXT(INDEX($Q$7:$Q$78,SMALL(IF($T$7:$T$78&lt;&gt;"",IF($Q$7:$Q$78&lt;&gt;"",ROW($Q$7:$Q$78)-MIN(ROW($Q$7:$Q$78))+1,""),""),ROW()-ROW(A$80)+1)),"##0")," "),"")</f>
        <v>0</v>
      </c>
      <c r="S84">
        <f t="array" ref="S84">IFERROR(CONCATENATE((INDEX($A$7:$A$78,SMALL(IF($T$7:$T$78&lt;&gt;"",IF($Q$7:$Q$78&lt;&gt;"",ROW($Q$7:$Q$78)-MIN(ROW($Q$7:$Q$78))+1,""),""),ROW()-ROW(A$80)+1))),),"")</f>
        <v>0</v>
      </c>
      <c r="W84">
        <f t="array" ref="W84">IFERROR(CONCATENATE((INDEX($Z$7:$Z$78,SMALL(IF($Z$7:$Z$78&lt;&gt;"",IF($W$7:$W$78&lt;&gt;"",ROW($W$7:$W$78)-MIN(ROW($W$7:$W$78))+1,""),""),ROW()-ROW(A$80)+1))),","),"")</f>
        <v>0</v>
      </c>
      <c r="X84">
        <f t="array" ref="X84">IFERROR(CONCATENATE(TEXT(INDEX($W$7:$W$78,SMALL(IF($Z$7:$Z$78&lt;&gt;"",IF($W$7:$W$78&lt;&gt;"",ROW($W$7:$W$78)-MIN(ROW($W$7:$W$78))+1,""),""),ROW()-ROW(A$80)+1)),"##0"),","),"")</f>
        <v>0</v>
      </c>
      <c r="Y84">
        <f t="array" ref="Y84">IFERROR(CONCATENATE((INDEX($A$7:$A$78,SMALL(IF($Z$7:$Z$78&lt;&gt;"",IF($W$7:$W$78&lt;&gt;"",ROW($W$7:$W$78)-MIN(ROW($W$7:$W$78))+1,""),""),ROW()-ROW(A$80)+1))),),"")</f>
        <v>0</v>
      </c>
    </row>
    <row r="85" spans="11:25">
      <c r="K85">
        <f t="array" ref="K85">IFERROR(CONCATENATE(TEXT(INDEX($K$7:$K$78,SMALL(IF($N$7:$N$78&lt;&gt;"",IF($K$7:$K$78&lt;&gt;"",ROW($K$7:$K$78)-MIN(ROW($K$7:$K$78))+1,""),""),ROW()-ROW(A$80)+1)),"##0"),","),"")</f>
        <v>0</v>
      </c>
      <c r="L85">
        <f t="array" ref="L85">IFERROR(CONCATENATE((INDEX($N$7:$N$78,SMALL(IF($N$7:$N$78&lt;&gt;"",IF($K$7:$K$78&lt;&gt;"",ROW($K$7:$K$78)-MIN(ROW($K$7:$K$78))+1,""),""),ROW()-ROW(A$80)+1))),","),"")</f>
        <v>0</v>
      </c>
      <c r="M85">
        <f t="array" ref="M85">IFERROR(CONCATENATE((INDEX($A$7:$A$78,SMALL(IF($N$7:$N$78&lt;&gt;"",IF($K$7:$K$78&lt;&gt;"",ROW($K$7:$K$78)-MIN(ROW($K$7:$K$78))+1,""),""),ROW()-ROW(A$80)+1))),),"")</f>
        <v>0</v>
      </c>
      <c r="Q85">
        <f t="array" ref="Q85">IFERROR(CONCATENATE((INDEX($T$7:$T$78,SMALL(IF($T$7:$T$78&lt;&gt;"",IF($Q$7:$Q$78&lt;&gt;"",ROW($Q$7:$Q$78)-MIN(ROW($Q$7:$Q$78))+1,""),""),ROW()-ROW(A$80)+1)))," "),"")</f>
        <v>0</v>
      </c>
      <c r="R85">
        <f t="array" ref="R85">IFERROR(CONCATENATE(TEXT(INDEX($Q$7:$Q$78,SMALL(IF($T$7:$T$78&lt;&gt;"",IF($Q$7:$Q$78&lt;&gt;"",ROW($Q$7:$Q$78)-MIN(ROW($Q$7:$Q$78))+1,""),""),ROW()-ROW(A$80)+1)),"##0")," "),"")</f>
        <v>0</v>
      </c>
      <c r="S85">
        <f t="array" ref="S85">IFERROR(CONCATENATE((INDEX($A$7:$A$78,SMALL(IF($T$7:$T$78&lt;&gt;"",IF($Q$7:$Q$78&lt;&gt;"",ROW($Q$7:$Q$78)-MIN(ROW($Q$7:$Q$78))+1,""),""),ROW()-ROW(A$80)+1))),),"")</f>
        <v>0</v>
      </c>
      <c r="W85">
        <f t="array" ref="W85">IFERROR(CONCATENATE((INDEX($Z$7:$Z$78,SMALL(IF($Z$7:$Z$78&lt;&gt;"",IF($W$7:$W$78&lt;&gt;"",ROW($W$7:$W$78)-MIN(ROW($W$7:$W$78))+1,""),""),ROW()-ROW(A$80)+1))),","),"")</f>
        <v>0</v>
      </c>
      <c r="X85">
        <f t="array" ref="X85">IFERROR(CONCATENATE(TEXT(INDEX($W$7:$W$78,SMALL(IF($Z$7:$Z$78&lt;&gt;"",IF($W$7:$W$78&lt;&gt;"",ROW($W$7:$W$78)-MIN(ROW($W$7:$W$78))+1,""),""),ROW()-ROW(A$80)+1)),"##0"),","),"")</f>
        <v>0</v>
      </c>
      <c r="Y85">
        <f t="array" ref="Y85">IFERROR(CONCATENATE((INDEX($A$7:$A$78,SMALL(IF($Z$7:$Z$78&lt;&gt;"",IF($W$7:$W$78&lt;&gt;"",ROW($W$7:$W$78)-MIN(ROW($W$7:$W$78))+1,""),""),ROW()-ROW(A$80)+1))),),"")</f>
        <v>0</v>
      </c>
    </row>
    <row r="86" spans="11:25">
      <c r="K86">
        <f t="array" ref="K86">IFERROR(CONCATENATE(TEXT(INDEX($K$7:$K$78,SMALL(IF($N$7:$N$78&lt;&gt;"",IF($K$7:$K$78&lt;&gt;"",ROW($K$7:$K$78)-MIN(ROW($K$7:$K$78))+1,""),""),ROW()-ROW(A$80)+1)),"##0"),","),"")</f>
        <v>0</v>
      </c>
      <c r="L86">
        <f t="array" ref="L86">IFERROR(CONCATENATE((INDEX($N$7:$N$78,SMALL(IF($N$7:$N$78&lt;&gt;"",IF($K$7:$K$78&lt;&gt;"",ROW($K$7:$K$78)-MIN(ROW($K$7:$K$78))+1,""),""),ROW()-ROW(A$80)+1))),","),"")</f>
        <v>0</v>
      </c>
      <c r="M86">
        <f t="array" ref="M86">IFERROR(CONCATENATE((INDEX($A$7:$A$78,SMALL(IF($N$7:$N$78&lt;&gt;"",IF($K$7:$K$78&lt;&gt;"",ROW($K$7:$K$78)-MIN(ROW($K$7:$K$78))+1,""),""),ROW()-ROW(A$80)+1))),),"")</f>
        <v>0</v>
      </c>
      <c r="Q86">
        <f t="array" ref="Q86">IFERROR(CONCATENATE((INDEX($T$7:$T$78,SMALL(IF($T$7:$T$78&lt;&gt;"",IF($Q$7:$Q$78&lt;&gt;"",ROW($Q$7:$Q$78)-MIN(ROW($Q$7:$Q$78))+1,""),""),ROW()-ROW(A$80)+1)))," "),"")</f>
        <v>0</v>
      </c>
      <c r="R86">
        <f t="array" ref="R86">IFERROR(CONCATENATE(TEXT(INDEX($Q$7:$Q$78,SMALL(IF($T$7:$T$78&lt;&gt;"",IF($Q$7:$Q$78&lt;&gt;"",ROW($Q$7:$Q$78)-MIN(ROW($Q$7:$Q$78))+1,""),""),ROW()-ROW(A$80)+1)),"##0")," "),"")</f>
        <v>0</v>
      </c>
      <c r="S86">
        <f t="array" ref="S86">IFERROR(CONCATENATE((INDEX($A$7:$A$78,SMALL(IF($T$7:$T$78&lt;&gt;"",IF($Q$7:$Q$78&lt;&gt;"",ROW($Q$7:$Q$78)-MIN(ROW($Q$7:$Q$78))+1,""),""),ROW()-ROW(A$80)+1))),),"")</f>
        <v>0</v>
      </c>
      <c r="W86">
        <f t="array" ref="W86">IFERROR(CONCATENATE((INDEX($Z$7:$Z$78,SMALL(IF($Z$7:$Z$78&lt;&gt;"",IF($W$7:$W$78&lt;&gt;"",ROW($W$7:$W$78)-MIN(ROW($W$7:$W$78))+1,""),""),ROW()-ROW(A$80)+1))),","),"")</f>
        <v>0</v>
      </c>
      <c r="X86">
        <f t="array" ref="X86">IFERROR(CONCATENATE(TEXT(INDEX($W$7:$W$78,SMALL(IF($Z$7:$Z$78&lt;&gt;"",IF($W$7:$W$78&lt;&gt;"",ROW($W$7:$W$78)-MIN(ROW($W$7:$W$78))+1,""),""),ROW()-ROW(A$80)+1)),"##0"),","),"")</f>
        <v>0</v>
      </c>
      <c r="Y86">
        <f t="array" ref="Y86">IFERROR(CONCATENATE((INDEX($A$7:$A$78,SMALL(IF($Z$7:$Z$78&lt;&gt;"",IF($W$7:$W$78&lt;&gt;"",ROW($W$7:$W$78)-MIN(ROW($W$7:$W$78))+1,""),""),ROW()-ROW(A$80)+1))),),"")</f>
        <v>0</v>
      </c>
    </row>
    <row r="87" spans="11:25">
      <c r="K87">
        <f t="array" ref="K87">IFERROR(CONCATENATE(TEXT(INDEX($K$7:$K$78,SMALL(IF($N$7:$N$78&lt;&gt;"",IF($K$7:$K$78&lt;&gt;"",ROW($K$7:$K$78)-MIN(ROW($K$7:$K$78))+1,""),""),ROW()-ROW(A$80)+1)),"##0"),","),"")</f>
        <v>0</v>
      </c>
      <c r="L87">
        <f t="array" ref="L87">IFERROR(CONCATENATE((INDEX($N$7:$N$78,SMALL(IF($N$7:$N$78&lt;&gt;"",IF($K$7:$K$78&lt;&gt;"",ROW($K$7:$K$78)-MIN(ROW($K$7:$K$78))+1,""),""),ROW()-ROW(A$80)+1))),","),"")</f>
        <v>0</v>
      </c>
      <c r="M87">
        <f t="array" ref="M87">IFERROR(CONCATENATE((INDEX($A$7:$A$78,SMALL(IF($N$7:$N$78&lt;&gt;"",IF($K$7:$K$78&lt;&gt;"",ROW($K$7:$K$78)-MIN(ROW($K$7:$K$78))+1,""),""),ROW()-ROW(A$80)+1))),),"")</f>
        <v>0</v>
      </c>
      <c r="Q87">
        <f t="array" ref="Q87">IFERROR(CONCATENATE((INDEX($T$7:$T$78,SMALL(IF($T$7:$T$78&lt;&gt;"",IF($Q$7:$Q$78&lt;&gt;"",ROW($Q$7:$Q$78)-MIN(ROW($Q$7:$Q$78))+1,""),""),ROW()-ROW(A$80)+1)))," "),"")</f>
        <v>0</v>
      </c>
      <c r="R87">
        <f t="array" ref="R87">IFERROR(CONCATENATE(TEXT(INDEX($Q$7:$Q$78,SMALL(IF($T$7:$T$78&lt;&gt;"",IF($Q$7:$Q$78&lt;&gt;"",ROW($Q$7:$Q$78)-MIN(ROW($Q$7:$Q$78))+1,""),""),ROW()-ROW(A$80)+1)),"##0")," "),"")</f>
        <v>0</v>
      </c>
      <c r="S87">
        <f t="array" ref="S87">IFERROR(CONCATENATE((INDEX($A$7:$A$78,SMALL(IF($T$7:$T$78&lt;&gt;"",IF($Q$7:$Q$78&lt;&gt;"",ROW($Q$7:$Q$78)-MIN(ROW($Q$7:$Q$78))+1,""),""),ROW()-ROW(A$80)+1))),),"")</f>
        <v>0</v>
      </c>
      <c r="W87">
        <f t="array" ref="W87">IFERROR(CONCATENATE((INDEX($Z$7:$Z$78,SMALL(IF($Z$7:$Z$78&lt;&gt;"",IF($W$7:$W$78&lt;&gt;"",ROW($W$7:$W$78)-MIN(ROW($W$7:$W$78))+1,""),""),ROW()-ROW(A$80)+1))),","),"")</f>
        <v>0</v>
      </c>
      <c r="X87">
        <f t="array" ref="X87">IFERROR(CONCATENATE(TEXT(INDEX($W$7:$W$78,SMALL(IF($Z$7:$Z$78&lt;&gt;"",IF($W$7:$W$78&lt;&gt;"",ROW($W$7:$W$78)-MIN(ROW($W$7:$W$78))+1,""),""),ROW()-ROW(A$80)+1)),"##0"),","),"")</f>
        <v>0</v>
      </c>
      <c r="Y87">
        <f t="array" ref="Y87">IFERROR(CONCATENATE((INDEX($A$7:$A$78,SMALL(IF($Z$7:$Z$78&lt;&gt;"",IF($W$7:$W$78&lt;&gt;"",ROW($W$7:$W$78)-MIN(ROW($W$7:$W$78))+1,""),""),ROW()-ROW(A$80)+1))),),"")</f>
        <v>0</v>
      </c>
    </row>
    <row r="88" spans="11:25">
      <c r="K88">
        <f t="array" ref="K88">IFERROR(CONCATENATE(TEXT(INDEX($K$7:$K$78,SMALL(IF($N$7:$N$78&lt;&gt;"",IF($K$7:$K$78&lt;&gt;"",ROW($K$7:$K$78)-MIN(ROW($K$7:$K$78))+1,""),""),ROW()-ROW(A$80)+1)),"##0"),","),"")</f>
        <v>0</v>
      </c>
      <c r="L88">
        <f t="array" ref="L88">IFERROR(CONCATENATE((INDEX($N$7:$N$78,SMALL(IF($N$7:$N$78&lt;&gt;"",IF($K$7:$K$78&lt;&gt;"",ROW($K$7:$K$78)-MIN(ROW($K$7:$K$78))+1,""),""),ROW()-ROW(A$80)+1))),","),"")</f>
        <v>0</v>
      </c>
      <c r="M88">
        <f t="array" ref="M88">IFERROR(CONCATENATE((INDEX($A$7:$A$78,SMALL(IF($N$7:$N$78&lt;&gt;"",IF($K$7:$K$78&lt;&gt;"",ROW($K$7:$K$78)-MIN(ROW($K$7:$K$78))+1,""),""),ROW()-ROW(A$80)+1))),),"")</f>
        <v>0</v>
      </c>
      <c r="Q88">
        <f t="array" ref="Q88">IFERROR(CONCATENATE((INDEX($T$7:$T$78,SMALL(IF($T$7:$T$78&lt;&gt;"",IF($Q$7:$Q$78&lt;&gt;"",ROW($Q$7:$Q$78)-MIN(ROW($Q$7:$Q$78))+1,""),""),ROW()-ROW(A$80)+1)))," "),"")</f>
        <v>0</v>
      </c>
      <c r="R88">
        <f t="array" ref="R88">IFERROR(CONCATENATE(TEXT(INDEX($Q$7:$Q$78,SMALL(IF($T$7:$T$78&lt;&gt;"",IF($Q$7:$Q$78&lt;&gt;"",ROW($Q$7:$Q$78)-MIN(ROW($Q$7:$Q$78))+1,""),""),ROW()-ROW(A$80)+1)),"##0")," "),"")</f>
        <v>0</v>
      </c>
      <c r="S88">
        <f t="array" ref="S88">IFERROR(CONCATENATE((INDEX($A$7:$A$78,SMALL(IF($T$7:$T$78&lt;&gt;"",IF($Q$7:$Q$78&lt;&gt;"",ROW($Q$7:$Q$78)-MIN(ROW($Q$7:$Q$78))+1,""),""),ROW()-ROW(A$80)+1))),),"")</f>
        <v>0</v>
      </c>
      <c r="W88">
        <f t="array" ref="W88">IFERROR(CONCATENATE((INDEX($Z$7:$Z$78,SMALL(IF($Z$7:$Z$78&lt;&gt;"",IF($W$7:$W$78&lt;&gt;"",ROW($W$7:$W$78)-MIN(ROW($W$7:$W$78))+1,""),""),ROW()-ROW(A$80)+1))),","),"")</f>
        <v>0</v>
      </c>
      <c r="X88">
        <f t="array" ref="X88">IFERROR(CONCATENATE(TEXT(INDEX($W$7:$W$78,SMALL(IF($Z$7:$Z$78&lt;&gt;"",IF($W$7:$W$78&lt;&gt;"",ROW($W$7:$W$78)-MIN(ROW($W$7:$W$78))+1,""),""),ROW()-ROW(A$80)+1)),"##0"),","),"")</f>
        <v>0</v>
      </c>
      <c r="Y88">
        <f t="array" ref="Y88">IFERROR(CONCATENATE((INDEX($A$7:$A$78,SMALL(IF($Z$7:$Z$78&lt;&gt;"",IF($W$7:$W$78&lt;&gt;"",ROW($W$7:$W$78)-MIN(ROW($W$7:$W$78))+1,""),""),ROW()-ROW(A$80)+1))),),"")</f>
        <v>0</v>
      </c>
    </row>
    <row r="89" spans="11:25">
      <c r="K89">
        <f t="array" ref="K89">IFERROR(CONCATENATE(TEXT(INDEX($K$7:$K$78,SMALL(IF($N$7:$N$78&lt;&gt;"",IF($K$7:$K$78&lt;&gt;"",ROW($K$7:$K$78)-MIN(ROW($K$7:$K$78))+1,""),""),ROW()-ROW(A$80)+1)),"##0"),","),"")</f>
        <v>0</v>
      </c>
      <c r="L89">
        <f t="array" ref="L89">IFERROR(CONCATENATE((INDEX($N$7:$N$78,SMALL(IF($N$7:$N$78&lt;&gt;"",IF($K$7:$K$78&lt;&gt;"",ROW($K$7:$K$78)-MIN(ROW($K$7:$K$78))+1,""),""),ROW()-ROW(A$80)+1))),","),"")</f>
        <v>0</v>
      </c>
      <c r="M89">
        <f t="array" ref="M89">IFERROR(CONCATENATE((INDEX($A$7:$A$78,SMALL(IF($N$7:$N$78&lt;&gt;"",IF($K$7:$K$78&lt;&gt;"",ROW($K$7:$K$78)-MIN(ROW($K$7:$K$78))+1,""),""),ROW()-ROW(A$80)+1))),),"")</f>
        <v>0</v>
      </c>
      <c r="Q89">
        <f t="array" ref="Q89">IFERROR(CONCATENATE((INDEX($T$7:$T$78,SMALL(IF($T$7:$T$78&lt;&gt;"",IF($Q$7:$Q$78&lt;&gt;"",ROW($Q$7:$Q$78)-MIN(ROW($Q$7:$Q$78))+1,""),""),ROW()-ROW(A$80)+1)))," "),"")</f>
        <v>0</v>
      </c>
      <c r="R89">
        <f t="array" ref="R89">IFERROR(CONCATENATE(TEXT(INDEX($Q$7:$Q$78,SMALL(IF($T$7:$T$78&lt;&gt;"",IF($Q$7:$Q$78&lt;&gt;"",ROW($Q$7:$Q$78)-MIN(ROW($Q$7:$Q$78))+1,""),""),ROW()-ROW(A$80)+1)),"##0")," "),"")</f>
        <v>0</v>
      </c>
      <c r="S89">
        <f t="array" ref="S89">IFERROR(CONCATENATE((INDEX($A$7:$A$78,SMALL(IF($T$7:$T$78&lt;&gt;"",IF($Q$7:$Q$78&lt;&gt;"",ROW($Q$7:$Q$78)-MIN(ROW($Q$7:$Q$78))+1,""),""),ROW()-ROW(A$80)+1))),),"")</f>
        <v>0</v>
      </c>
      <c r="W89">
        <f t="array" ref="W89">IFERROR(CONCATENATE((INDEX($Z$7:$Z$78,SMALL(IF($Z$7:$Z$78&lt;&gt;"",IF($W$7:$W$78&lt;&gt;"",ROW($W$7:$W$78)-MIN(ROW($W$7:$W$78))+1,""),""),ROW()-ROW(A$80)+1))),","),"")</f>
        <v>0</v>
      </c>
      <c r="X89">
        <f t="array" ref="X89">IFERROR(CONCATENATE(TEXT(INDEX($W$7:$W$78,SMALL(IF($Z$7:$Z$78&lt;&gt;"",IF($W$7:$W$78&lt;&gt;"",ROW($W$7:$W$78)-MIN(ROW($W$7:$W$78))+1,""),""),ROW()-ROW(A$80)+1)),"##0"),","),"")</f>
        <v>0</v>
      </c>
      <c r="Y89">
        <f t="array" ref="Y89">IFERROR(CONCATENATE((INDEX($A$7:$A$78,SMALL(IF($Z$7:$Z$78&lt;&gt;"",IF($W$7:$W$78&lt;&gt;"",ROW($W$7:$W$78)-MIN(ROW($W$7:$W$78))+1,""),""),ROW()-ROW(A$80)+1))),),"")</f>
        <v>0</v>
      </c>
    </row>
    <row r="90" spans="11:25">
      <c r="K90">
        <f t="array" ref="K90">IFERROR(CONCATENATE(TEXT(INDEX($K$7:$K$78,SMALL(IF($N$7:$N$78&lt;&gt;"",IF($K$7:$K$78&lt;&gt;"",ROW($K$7:$K$78)-MIN(ROW($K$7:$K$78))+1,""),""),ROW()-ROW(A$80)+1)),"##0"),","),"")</f>
        <v>0</v>
      </c>
      <c r="L90">
        <f t="array" ref="L90">IFERROR(CONCATENATE((INDEX($N$7:$N$78,SMALL(IF($N$7:$N$78&lt;&gt;"",IF($K$7:$K$78&lt;&gt;"",ROW($K$7:$K$78)-MIN(ROW($K$7:$K$78))+1,""),""),ROW()-ROW(A$80)+1))),","),"")</f>
        <v>0</v>
      </c>
      <c r="M90">
        <f t="array" ref="M90">IFERROR(CONCATENATE((INDEX($A$7:$A$78,SMALL(IF($N$7:$N$78&lt;&gt;"",IF($K$7:$K$78&lt;&gt;"",ROW($K$7:$K$78)-MIN(ROW($K$7:$K$78))+1,""),""),ROW()-ROW(A$80)+1))),),"")</f>
        <v>0</v>
      </c>
      <c r="Q90">
        <f t="array" ref="Q90">IFERROR(CONCATENATE((INDEX($T$7:$T$78,SMALL(IF($T$7:$T$78&lt;&gt;"",IF($Q$7:$Q$78&lt;&gt;"",ROW($Q$7:$Q$78)-MIN(ROW($Q$7:$Q$78))+1,""),""),ROW()-ROW(A$80)+1)))," "),"")</f>
        <v>0</v>
      </c>
      <c r="R90">
        <f t="array" ref="R90">IFERROR(CONCATENATE(TEXT(INDEX($Q$7:$Q$78,SMALL(IF($T$7:$T$78&lt;&gt;"",IF($Q$7:$Q$78&lt;&gt;"",ROW($Q$7:$Q$78)-MIN(ROW($Q$7:$Q$78))+1,""),""),ROW()-ROW(A$80)+1)),"##0")," "),"")</f>
        <v>0</v>
      </c>
      <c r="S90">
        <f t="array" ref="S90">IFERROR(CONCATENATE((INDEX($A$7:$A$78,SMALL(IF($T$7:$T$78&lt;&gt;"",IF($Q$7:$Q$78&lt;&gt;"",ROW($Q$7:$Q$78)-MIN(ROW($Q$7:$Q$78))+1,""),""),ROW()-ROW(A$80)+1))),),"")</f>
        <v>0</v>
      </c>
      <c r="W90">
        <f t="array" ref="W90">IFERROR(CONCATENATE((INDEX($Z$7:$Z$78,SMALL(IF($Z$7:$Z$78&lt;&gt;"",IF($W$7:$W$78&lt;&gt;"",ROW($W$7:$W$78)-MIN(ROW($W$7:$W$78))+1,""),""),ROW()-ROW(A$80)+1))),","),"")</f>
        <v>0</v>
      </c>
      <c r="X90">
        <f t="array" ref="X90">IFERROR(CONCATENATE(TEXT(INDEX($W$7:$W$78,SMALL(IF($Z$7:$Z$78&lt;&gt;"",IF($W$7:$W$78&lt;&gt;"",ROW($W$7:$W$78)-MIN(ROW($W$7:$W$78))+1,""),""),ROW()-ROW(A$80)+1)),"##0"),","),"")</f>
        <v>0</v>
      </c>
      <c r="Y90">
        <f t="array" ref="Y90">IFERROR(CONCATENATE((INDEX($A$7:$A$78,SMALL(IF($Z$7:$Z$78&lt;&gt;"",IF($W$7:$W$78&lt;&gt;"",ROW($W$7:$W$78)-MIN(ROW($W$7:$W$78))+1,""),""),ROW()-ROW(A$80)+1))),),"")</f>
        <v>0</v>
      </c>
    </row>
    <row r="91" spans="11:25">
      <c r="K91">
        <f t="array" ref="K91">IFERROR(CONCATENATE(TEXT(INDEX($K$7:$K$78,SMALL(IF($N$7:$N$78&lt;&gt;"",IF($K$7:$K$78&lt;&gt;"",ROW($K$7:$K$78)-MIN(ROW($K$7:$K$78))+1,""),""),ROW()-ROW(A$80)+1)),"##0"),","),"")</f>
        <v>0</v>
      </c>
      <c r="L91">
        <f t="array" ref="L91">IFERROR(CONCATENATE((INDEX($N$7:$N$78,SMALL(IF($N$7:$N$78&lt;&gt;"",IF($K$7:$K$78&lt;&gt;"",ROW($K$7:$K$78)-MIN(ROW($K$7:$K$78))+1,""),""),ROW()-ROW(A$80)+1))),","),"")</f>
        <v>0</v>
      </c>
      <c r="M91">
        <f t="array" ref="M91">IFERROR(CONCATENATE((INDEX($A$7:$A$78,SMALL(IF($N$7:$N$78&lt;&gt;"",IF($K$7:$K$78&lt;&gt;"",ROW($K$7:$K$78)-MIN(ROW($K$7:$K$78))+1,""),""),ROW()-ROW(A$80)+1))),),"")</f>
        <v>0</v>
      </c>
      <c r="Q91">
        <f t="array" ref="Q91">IFERROR(CONCATENATE((INDEX($T$7:$T$78,SMALL(IF($T$7:$T$78&lt;&gt;"",IF($Q$7:$Q$78&lt;&gt;"",ROW($Q$7:$Q$78)-MIN(ROW($Q$7:$Q$78))+1,""),""),ROW()-ROW(A$80)+1)))," "),"")</f>
        <v>0</v>
      </c>
      <c r="R91">
        <f t="array" ref="R91">IFERROR(CONCATENATE(TEXT(INDEX($Q$7:$Q$78,SMALL(IF($T$7:$T$78&lt;&gt;"",IF($Q$7:$Q$78&lt;&gt;"",ROW($Q$7:$Q$78)-MIN(ROW($Q$7:$Q$78))+1,""),""),ROW()-ROW(A$80)+1)),"##0")," "),"")</f>
        <v>0</v>
      </c>
      <c r="S91">
        <f t="array" ref="S91">IFERROR(CONCATENATE((INDEX($A$7:$A$78,SMALL(IF($T$7:$T$78&lt;&gt;"",IF($Q$7:$Q$78&lt;&gt;"",ROW($Q$7:$Q$78)-MIN(ROW($Q$7:$Q$78))+1,""),""),ROW()-ROW(A$80)+1))),),"")</f>
        <v>0</v>
      </c>
      <c r="W91">
        <f t="array" ref="W91">IFERROR(CONCATENATE((INDEX($Z$7:$Z$78,SMALL(IF($Z$7:$Z$78&lt;&gt;"",IF($W$7:$W$78&lt;&gt;"",ROW($W$7:$W$78)-MIN(ROW($W$7:$W$78))+1,""),""),ROW()-ROW(A$80)+1))),","),"")</f>
        <v>0</v>
      </c>
      <c r="X91">
        <f t="array" ref="X91">IFERROR(CONCATENATE(TEXT(INDEX($W$7:$W$78,SMALL(IF($Z$7:$Z$78&lt;&gt;"",IF($W$7:$W$78&lt;&gt;"",ROW($W$7:$W$78)-MIN(ROW($W$7:$W$78))+1,""),""),ROW()-ROW(A$80)+1)),"##0"),","),"")</f>
        <v>0</v>
      </c>
      <c r="Y91">
        <f t="array" ref="Y91">IFERROR(CONCATENATE((INDEX($A$7:$A$78,SMALL(IF($Z$7:$Z$78&lt;&gt;"",IF($W$7:$W$78&lt;&gt;"",ROW($W$7:$W$78)-MIN(ROW($W$7:$W$78))+1,""),""),ROW()-ROW(A$80)+1))),),"")</f>
        <v>0</v>
      </c>
    </row>
    <row r="92" spans="11:25">
      <c r="K92">
        <f t="array" ref="K92">IFERROR(CONCATENATE(TEXT(INDEX($K$7:$K$78,SMALL(IF($N$7:$N$78&lt;&gt;"",IF($K$7:$K$78&lt;&gt;"",ROW($K$7:$K$78)-MIN(ROW($K$7:$K$78))+1,""),""),ROW()-ROW(A$80)+1)),"##0"),","),"")</f>
        <v>0</v>
      </c>
      <c r="L92">
        <f t="array" ref="L92">IFERROR(CONCATENATE((INDEX($N$7:$N$78,SMALL(IF($N$7:$N$78&lt;&gt;"",IF($K$7:$K$78&lt;&gt;"",ROW($K$7:$K$78)-MIN(ROW($K$7:$K$78))+1,""),""),ROW()-ROW(A$80)+1))),","),"")</f>
        <v>0</v>
      </c>
      <c r="M92">
        <f t="array" ref="M92">IFERROR(CONCATENATE((INDEX($A$7:$A$78,SMALL(IF($N$7:$N$78&lt;&gt;"",IF($K$7:$K$78&lt;&gt;"",ROW($K$7:$K$78)-MIN(ROW($K$7:$K$78))+1,""),""),ROW()-ROW(A$80)+1))),),"")</f>
        <v>0</v>
      </c>
      <c r="Q92">
        <f t="array" ref="Q92">IFERROR(CONCATENATE((INDEX($T$7:$T$78,SMALL(IF($T$7:$T$78&lt;&gt;"",IF($Q$7:$Q$78&lt;&gt;"",ROW($Q$7:$Q$78)-MIN(ROW($Q$7:$Q$78))+1,""),""),ROW()-ROW(A$80)+1)))," "),"")</f>
        <v>0</v>
      </c>
      <c r="R92">
        <f t="array" ref="R92">IFERROR(CONCATENATE(TEXT(INDEX($Q$7:$Q$78,SMALL(IF($T$7:$T$78&lt;&gt;"",IF($Q$7:$Q$78&lt;&gt;"",ROW($Q$7:$Q$78)-MIN(ROW($Q$7:$Q$78))+1,""),""),ROW()-ROW(A$80)+1)),"##0")," "),"")</f>
        <v>0</v>
      </c>
      <c r="S92">
        <f t="array" ref="S92">IFERROR(CONCATENATE((INDEX($A$7:$A$78,SMALL(IF($T$7:$T$78&lt;&gt;"",IF($Q$7:$Q$78&lt;&gt;"",ROW($Q$7:$Q$78)-MIN(ROW($Q$7:$Q$78))+1,""),""),ROW()-ROW(A$80)+1))),),"")</f>
        <v>0</v>
      </c>
      <c r="W92">
        <f t="array" ref="W92">IFERROR(CONCATENATE((INDEX($Z$7:$Z$78,SMALL(IF($Z$7:$Z$78&lt;&gt;"",IF($W$7:$W$78&lt;&gt;"",ROW($W$7:$W$78)-MIN(ROW($W$7:$W$78))+1,""),""),ROW()-ROW(A$80)+1))),","),"")</f>
        <v>0</v>
      </c>
      <c r="X92">
        <f t="array" ref="X92">IFERROR(CONCATENATE(TEXT(INDEX($W$7:$W$78,SMALL(IF($Z$7:$Z$78&lt;&gt;"",IF($W$7:$W$78&lt;&gt;"",ROW($W$7:$W$78)-MIN(ROW($W$7:$W$78))+1,""),""),ROW()-ROW(A$80)+1)),"##0"),","),"")</f>
        <v>0</v>
      </c>
      <c r="Y92">
        <f t="array" ref="Y92">IFERROR(CONCATENATE((INDEX($A$7:$A$78,SMALL(IF($Z$7:$Z$78&lt;&gt;"",IF($W$7:$W$78&lt;&gt;"",ROW($W$7:$W$78)-MIN(ROW($W$7:$W$78))+1,""),""),ROW()-ROW(A$80)+1))),),"")</f>
        <v>0</v>
      </c>
    </row>
    <row r="93" spans="11:25">
      <c r="K93">
        <f t="array" ref="K93">IFERROR(CONCATENATE(TEXT(INDEX($K$7:$K$78,SMALL(IF($N$7:$N$78&lt;&gt;"",IF($K$7:$K$78&lt;&gt;"",ROW($K$7:$K$78)-MIN(ROW($K$7:$K$78))+1,""),""),ROW()-ROW(A$80)+1)),"##0"),","),"")</f>
        <v>0</v>
      </c>
      <c r="L93">
        <f t="array" ref="L93">IFERROR(CONCATENATE((INDEX($N$7:$N$78,SMALL(IF($N$7:$N$78&lt;&gt;"",IF($K$7:$K$78&lt;&gt;"",ROW($K$7:$K$78)-MIN(ROW($K$7:$K$78))+1,""),""),ROW()-ROW(A$80)+1))),","),"")</f>
        <v>0</v>
      </c>
      <c r="M93">
        <f t="array" ref="M93">IFERROR(CONCATENATE((INDEX($A$7:$A$78,SMALL(IF($N$7:$N$78&lt;&gt;"",IF($K$7:$K$78&lt;&gt;"",ROW($K$7:$K$78)-MIN(ROW($K$7:$K$78))+1,""),""),ROW()-ROW(A$80)+1))),),"")</f>
        <v>0</v>
      </c>
      <c r="Q93">
        <f t="array" ref="Q93">IFERROR(CONCATENATE((INDEX($T$7:$T$78,SMALL(IF($T$7:$T$78&lt;&gt;"",IF($Q$7:$Q$78&lt;&gt;"",ROW($Q$7:$Q$78)-MIN(ROW($Q$7:$Q$78))+1,""),""),ROW()-ROW(A$80)+1)))," "),"")</f>
        <v>0</v>
      </c>
      <c r="R93">
        <f t="array" ref="R93">IFERROR(CONCATENATE(TEXT(INDEX($Q$7:$Q$78,SMALL(IF($T$7:$T$78&lt;&gt;"",IF($Q$7:$Q$78&lt;&gt;"",ROW($Q$7:$Q$78)-MIN(ROW($Q$7:$Q$78))+1,""),""),ROW()-ROW(A$80)+1)),"##0")," "),"")</f>
        <v>0</v>
      </c>
      <c r="S93">
        <f t="array" ref="S93">IFERROR(CONCATENATE((INDEX($A$7:$A$78,SMALL(IF($T$7:$T$78&lt;&gt;"",IF($Q$7:$Q$78&lt;&gt;"",ROW($Q$7:$Q$78)-MIN(ROW($Q$7:$Q$78))+1,""),""),ROW()-ROW(A$80)+1))),),"")</f>
        <v>0</v>
      </c>
      <c r="W93">
        <f t="array" ref="W93">IFERROR(CONCATENATE((INDEX($Z$7:$Z$78,SMALL(IF($Z$7:$Z$78&lt;&gt;"",IF($W$7:$W$78&lt;&gt;"",ROW($W$7:$W$78)-MIN(ROW($W$7:$W$78))+1,""),""),ROW()-ROW(A$80)+1))),","),"")</f>
        <v>0</v>
      </c>
      <c r="X93">
        <f t="array" ref="X93">IFERROR(CONCATENATE(TEXT(INDEX($W$7:$W$78,SMALL(IF($Z$7:$Z$78&lt;&gt;"",IF($W$7:$W$78&lt;&gt;"",ROW($W$7:$W$78)-MIN(ROW($W$7:$W$78))+1,""),""),ROW()-ROW(A$80)+1)),"##0"),","),"")</f>
        <v>0</v>
      </c>
      <c r="Y93">
        <f t="array" ref="Y93">IFERROR(CONCATENATE((INDEX($A$7:$A$78,SMALL(IF($Z$7:$Z$78&lt;&gt;"",IF($W$7:$W$78&lt;&gt;"",ROW($W$7:$W$78)-MIN(ROW($W$7:$W$78))+1,""),""),ROW()-ROW(A$80)+1))),),"")</f>
        <v>0</v>
      </c>
    </row>
    <row r="94" spans="11:25">
      <c r="K94">
        <f t="array" ref="K94">IFERROR(CONCATENATE(TEXT(INDEX($K$7:$K$78,SMALL(IF($N$7:$N$78&lt;&gt;"",IF($K$7:$K$78&lt;&gt;"",ROW($K$7:$K$78)-MIN(ROW($K$7:$K$78))+1,""),""),ROW()-ROW(A$80)+1)),"##0"),","),"")</f>
        <v>0</v>
      </c>
      <c r="L94">
        <f t="array" ref="L94">IFERROR(CONCATENATE((INDEX($N$7:$N$78,SMALL(IF($N$7:$N$78&lt;&gt;"",IF($K$7:$K$78&lt;&gt;"",ROW($K$7:$K$78)-MIN(ROW($K$7:$K$78))+1,""),""),ROW()-ROW(A$80)+1))),","),"")</f>
        <v>0</v>
      </c>
      <c r="M94">
        <f t="array" ref="M94">IFERROR(CONCATENATE((INDEX($A$7:$A$78,SMALL(IF($N$7:$N$78&lt;&gt;"",IF($K$7:$K$78&lt;&gt;"",ROW($K$7:$K$78)-MIN(ROW($K$7:$K$78))+1,""),""),ROW()-ROW(A$80)+1))),),"")</f>
        <v>0</v>
      </c>
      <c r="Q94">
        <f t="array" ref="Q94">IFERROR(CONCATENATE((INDEX($T$7:$T$78,SMALL(IF($T$7:$T$78&lt;&gt;"",IF($Q$7:$Q$78&lt;&gt;"",ROW($Q$7:$Q$78)-MIN(ROW($Q$7:$Q$78))+1,""),""),ROW()-ROW(A$80)+1)))," "),"")</f>
        <v>0</v>
      </c>
      <c r="R94">
        <f t="array" ref="R94">IFERROR(CONCATENATE(TEXT(INDEX($Q$7:$Q$78,SMALL(IF($T$7:$T$78&lt;&gt;"",IF($Q$7:$Q$78&lt;&gt;"",ROW($Q$7:$Q$78)-MIN(ROW($Q$7:$Q$78))+1,""),""),ROW()-ROW(A$80)+1)),"##0")," "),"")</f>
        <v>0</v>
      </c>
      <c r="S94">
        <f t="array" ref="S94">IFERROR(CONCATENATE((INDEX($A$7:$A$78,SMALL(IF($T$7:$T$78&lt;&gt;"",IF($Q$7:$Q$78&lt;&gt;"",ROW($Q$7:$Q$78)-MIN(ROW($Q$7:$Q$78))+1,""),""),ROW()-ROW(A$80)+1))),),"")</f>
        <v>0</v>
      </c>
      <c r="W94">
        <f t="array" ref="W94">IFERROR(CONCATENATE((INDEX($Z$7:$Z$78,SMALL(IF($Z$7:$Z$78&lt;&gt;"",IF($W$7:$W$78&lt;&gt;"",ROW($W$7:$W$78)-MIN(ROW($W$7:$W$78))+1,""),""),ROW()-ROW(A$80)+1))),","),"")</f>
        <v>0</v>
      </c>
      <c r="X94">
        <f t="array" ref="X94">IFERROR(CONCATENATE(TEXT(INDEX($W$7:$W$78,SMALL(IF($Z$7:$Z$78&lt;&gt;"",IF($W$7:$W$78&lt;&gt;"",ROW($W$7:$W$78)-MIN(ROW($W$7:$W$78))+1,""),""),ROW()-ROW(A$80)+1)),"##0"),","),"")</f>
        <v>0</v>
      </c>
      <c r="Y94">
        <f t="array" ref="Y94">IFERROR(CONCATENATE((INDEX($A$7:$A$78,SMALL(IF($Z$7:$Z$78&lt;&gt;"",IF($W$7:$W$78&lt;&gt;"",ROW($W$7:$W$78)-MIN(ROW($W$7:$W$78))+1,""),""),ROW()-ROW(A$80)+1))),),"")</f>
        <v>0</v>
      </c>
    </row>
    <row r="95" spans="11:25">
      <c r="K95">
        <f t="array" ref="K95">IFERROR(CONCATENATE(TEXT(INDEX($K$7:$K$78,SMALL(IF($N$7:$N$78&lt;&gt;"",IF($K$7:$K$78&lt;&gt;"",ROW($K$7:$K$78)-MIN(ROW($K$7:$K$78))+1,""),""),ROW()-ROW(A$80)+1)),"##0"),","),"")</f>
        <v>0</v>
      </c>
      <c r="L95">
        <f t="array" ref="L95">IFERROR(CONCATENATE((INDEX($N$7:$N$78,SMALL(IF($N$7:$N$78&lt;&gt;"",IF($K$7:$K$78&lt;&gt;"",ROW($K$7:$K$78)-MIN(ROW($K$7:$K$78))+1,""),""),ROW()-ROW(A$80)+1))),","),"")</f>
        <v>0</v>
      </c>
      <c r="M95">
        <f t="array" ref="M95">IFERROR(CONCATENATE((INDEX($A$7:$A$78,SMALL(IF($N$7:$N$78&lt;&gt;"",IF($K$7:$K$78&lt;&gt;"",ROW($K$7:$K$78)-MIN(ROW($K$7:$K$78))+1,""),""),ROW()-ROW(A$80)+1))),),"")</f>
        <v>0</v>
      </c>
      <c r="Q95">
        <f t="array" ref="Q95">IFERROR(CONCATENATE((INDEX($T$7:$T$78,SMALL(IF($T$7:$T$78&lt;&gt;"",IF($Q$7:$Q$78&lt;&gt;"",ROW($Q$7:$Q$78)-MIN(ROW($Q$7:$Q$78))+1,""),""),ROW()-ROW(A$80)+1)))," "),"")</f>
        <v>0</v>
      </c>
      <c r="R95">
        <f t="array" ref="R95">IFERROR(CONCATENATE(TEXT(INDEX($Q$7:$Q$78,SMALL(IF($T$7:$T$78&lt;&gt;"",IF($Q$7:$Q$78&lt;&gt;"",ROW($Q$7:$Q$78)-MIN(ROW($Q$7:$Q$78))+1,""),""),ROW()-ROW(A$80)+1)),"##0")," "),"")</f>
        <v>0</v>
      </c>
      <c r="S95">
        <f t="array" ref="S95">IFERROR(CONCATENATE((INDEX($A$7:$A$78,SMALL(IF($T$7:$T$78&lt;&gt;"",IF($Q$7:$Q$78&lt;&gt;"",ROW($Q$7:$Q$78)-MIN(ROW($Q$7:$Q$78))+1,""),""),ROW()-ROW(A$80)+1))),),"")</f>
        <v>0</v>
      </c>
      <c r="W95">
        <f t="array" ref="W95">IFERROR(CONCATENATE((INDEX($Z$7:$Z$78,SMALL(IF($Z$7:$Z$78&lt;&gt;"",IF($W$7:$W$78&lt;&gt;"",ROW($W$7:$W$78)-MIN(ROW($W$7:$W$78))+1,""),""),ROW()-ROW(A$80)+1))),","),"")</f>
        <v>0</v>
      </c>
      <c r="X95">
        <f t="array" ref="X95">IFERROR(CONCATENATE(TEXT(INDEX($W$7:$W$78,SMALL(IF($Z$7:$Z$78&lt;&gt;"",IF($W$7:$W$78&lt;&gt;"",ROW($W$7:$W$78)-MIN(ROW($W$7:$W$78))+1,""),""),ROW()-ROW(A$80)+1)),"##0"),","),"")</f>
        <v>0</v>
      </c>
      <c r="Y95">
        <f t="array" ref="Y95">IFERROR(CONCATENATE((INDEX($A$7:$A$78,SMALL(IF($Z$7:$Z$78&lt;&gt;"",IF($W$7:$W$78&lt;&gt;"",ROW($W$7:$W$78)-MIN(ROW($W$7:$W$78))+1,""),""),ROW()-ROW(A$80)+1))),),"")</f>
        <v>0</v>
      </c>
    </row>
    <row r="96" spans="11:25">
      <c r="K96">
        <f t="array" ref="K96">IFERROR(CONCATENATE(TEXT(INDEX($K$7:$K$78,SMALL(IF($N$7:$N$78&lt;&gt;"",IF($K$7:$K$78&lt;&gt;"",ROW($K$7:$K$78)-MIN(ROW($K$7:$K$78))+1,""),""),ROW()-ROW(A$80)+1)),"##0"),","),"")</f>
        <v>0</v>
      </c>
      <c r="L96">
        <f t="array" ref="L96">IFERROR(CONCATENATE((INDEX($N$7:$N$78,SMALL(IF($N$7:$N$78&lt;&gt;"",IF($K$7:$K$78&lt;&gt;"",ROW($K$7:$K$78)-MIN(ROW($K$7:$K$78))+1,""),""),ROW()-ROW(A$80)+1))),","),"")</f>
        <v>0</v>
      </c>
      <c r="M96">
        <f t="array" ref="M96">IFERROR(CONCATENATE((INDEX($A$7:$A$78,SMALL(IF($N$7:$N$78&lt;&gt;"",IF($K$7:$K$78&lt;&gt;"",ROW($K$7:$K$78)-MIN(ROW($K$7:$K$78))+1,""),""),ROW()-ROW(A$80)+1))),),"")</f>
        <v>0</v>
      </c>
      <c r="Q96">
        <f t="array" ref="Q96">IFERROR(CONCATENATE((INDEX($T$7:$T$78,SMALL(IF($T$7:$T$78&lt;&gt;"",IF($Q$7:$Q$78&lt;&gt;"",ROW($Q$7:$Q$78)-MIN(ROW($Q$7:$Q$78))+1,""),""),ROW()-ROW(A$80)+1)))," "),"")</f>
        <v>0</v>
      </c>
      <c r="R96">
        <f t="array" ref="R96">IFERROR(CONCATENATE(TEXT(INDEX($Q$7:$Q$78,SMALL(IF($T$7:$T$78&lt;&gt;"",IF($Q$7:$Q$78&lt;&gt;"",ROW($Q$7:$Q$78)-MIN(ROW($Q$7:$Q$78))+1,""),""),ROW()-ROW(A$80)+1)),"##0")," "),"")</f>
        <v>0</v>
      </c>
      <c r="S96">
        <f t="array" ref="S96">IFERROR(CONCATENATE((INDEX($A$7:$A$78,SMALL(IF($T$7:$T$78&lt;&gt;"",IF($Q$7:$Q$78&lt;&gt;"",ROW($Q$7:$Q$78)-MIN(ROW($Q$7:$Q$78))+1,""),""),ROW()-ROW(A$80)+1))),),"")</f>
        <v>0</v>
      </c>
      <c r="W96">
        <f t="array" ref="W96">IFERROR(CONCATENATE((INDEX($Z$7:$Z$78,SMALL(IF($Z$7:$Z$78&lt;&gt;"",IF($W$7:$W$78&lt;&gt;"",ROW($W$7:$W$78)-MIN(ROW($W$7:$W$78))+1,""),""),ROW()-ROW(A$80)+1))),","),"")</f>
        <v>0</v>
      </c>
      <c r="X96">
        <f t="array" ref="X96">IFERROR(CONCATENATE(TEXT(INDEX($W$7:$W$78,SMALL(IF($Z$7:$Z$78&lt;&gt;"",IF($W$7:$W$78&lt;&gt;"",ROW($W$7:$W$78)-MIN(ROW($W$7:$W$78))+1,""),""),ROW()-ROW(A$80)+1)),"##0"),","),"")</f>
        <v>0</v>
      </c>
      <c r="Y96">
        <f t="array" ref="Y96">IFERROR(CONCATENATE((INDEX($A$7:$A$78,SMALL(IF($Z$7:$Z$78&lt;&gt;"",IF($W$7:$W$78&lt;&gt;"",ROW($W$7:$W$78)-MIN(ROW($W$7:$W$78))+1,""),""),ROW()-ROW(A$80)+1))),),"")</f>
        <v>0</v>
      </c>
    </row>
    <row r="97" spans="11:25">
      <c r="K97">
        <f t="array" ref="K97">IFERROR(CONCATENATE(TEXT(INDEX($K$7:$K$78,SMALL(IF($N$7:$N$78&lt;&gt;"",IF($K$7:$K$78&lt;&gt;"",ROW($K$7:$K$78)-MIN(ROW($K$7:$K$78))+1,""),""),ROW()-ROW(A$80)+1)),"##0"),","),"")</f>
        <v>0</v>
      </c>
      <c r="L97">
        <f t="array" ref="L97">IFERROR(CONCATENATE((INDEX($N$7:$N$78,SMALL(IF($N$7:$N$78&lt;&gt;"",IF($K$7:$K$78&lt;&gt;"",ROW($K$7:$K$78)-MIN(ROW($K$7:$K$78))+1,""),""),ROW()-ROW(A$80)+1))),","),"")</f>
        <v>0</v>
      </c>
      <c r="M97">
        <f t="array" ref="M97">IFERROR(CONCATENATE((INDEX($A$7:$A$78,SMALL(IF($N$7:$N$78&lt;&gt;"",IF($K$7:$K$78&lt;&gt;"",ROW($K$7:$K$78)-MIN(ROW($K$7:$K$78))+1,""),""),ROW()-ROW(A$80)+1))),),"")</f>
        <v>0</v>
      </c>
      <c r="Q97">
        <f t="array" ref="Q97">IFERROR(CONCATENATE((INDEX($T$7:$T$78,SMALL(IF($T$7:$T$78&lt;&gt;"",IF($Q$7:$Q$78&lt;&gt;"",ROW($Q$7:$Q$78)-MIN(ROW($Q$7:$Q$78))+1,""),""),ROW()-ROW(A$80)+1)))," "),"")</f>
        <v>0</v>
      </c>
      <c r="R97">
        <f t="array" ref="R97">IFERROR(CONCATENATE(TEXT(INDEX($Q$7:$Q$78,SMALL(IF($T$7:$T$78&lt;&gt;"",IF($Q$7:$Q$78&lt;&gt;"",ROW($Q$7:$Q$78)-MIN(ROW($Q$7:$Q$78))+1,""),""),ROW()-ROW(A$80)+1)),"##0")," "),"")</f>
        <v>0</v>
      </c>
      <c r="S97">
        <f t="array" ref="S97">IFERROR(CONCATENATE((INDEX($A$7:$A$78,SMALL(IF($T$7:$T$78&lt;&gt;"",IF($Q$7:$Q$78&lt;&gt;"",ROW($Q$7:$Q$78)-MIN(ROW($Q$7:$Q$78))+1,""),""),ROW()-ROW(A$80)+1))),),"")</f>
        <v>0</v>
      </c>
      <c r="W97">
        <f t="array" ref="W97">IFERROR(CONCATENATE((INDEX($Z$7:$Z$78,SMALL(IF($Z$7:$Z$78&lt;&gt;"",IF($W$7:$W$78&lt;&gt;"",ROW($W$7:$W$78)-MIN(ROW($W$7:$W$78))+1,""),""),ROW()-ROW(A$80)+1))),","),"")</f>
        <v>0</v>
      </c>
      <c r="X97">
        <f t="array" ref="X97">IFERROR(CONCATENATE(TEXT(INDEX($W$7:$W$78,SMALL(IF($Z$7:$Z$78&lt;&gt;"",IF($W$7:$W$78&lt;&gt;"",ROW($W$7:$W$78)-MIN(ROW($W$7:$W$78))+1,""),""),ROW()-ROW(A$80)+1)),"##0"),","),"")</f>
        <v>0</v>
      </c>
      <c r="Y97">
        <f t="array" ref="Y97">IFERROR(CONCATENATE((INDEX($A$7:$A$78,SMALL(IF($Z$7:$Z$78&lt;&gt;"",IF($W$7:$W$78&lt;&gt;"",ROW($W$7:$W$78)-MIN(ROW($W$7:$W$78))+1,""),""),ROW()-ROW(A$80)+1))),),"")</f>
        <v>0</v>
      </c>
    </row>
    <row r="98" spans="11:25">
      <c r="K98">
        <f t="array" ref="K98">IFERROR(CONCATENATE(TEXT(INDEX($K$7:$K$78,SMALL(IF($N$7:$N$78&lt;&gt;"",IF($K$7:$K$78&lt;&gt;"",ROW($K$7:$K$78)-MIN(ROW($K$7:$K$78))+1,""),""),ROW()-ROW(A$80)+1)),"##0"),","),"")</f>
        <v>0</v>
      </c>
      <c r="L98">
        <f t="array" ref="L98">IFERROR(CONCATENATE((INDEX($N$7:$N$78,SMALL(IF($N$7:$N$78&lt;&gt;"",IF($K$7:$K$78&lt;&gt;"",ROW($K$7:$K$78)-MIN(ROW($K$7:$K$78))+1,""),""),ROW()-ROW(A$80)+1))),","),"")</f>
        <v>0</v>
      </c>
      <c r="M98">
        <f t="array" ref="M98">IFERROR(CONCATENATE((INDEX($A$7:$A$78,SMALL(IF($N$7:$N$78&lt;&gt;"",IF($K$7:$K$78&lt;&gt;"",ROW($K$7:$K$78)-MIN(ROW($K$7:$K$78))+1,""),""),ROW()-ROW(A$80)+1))),),"")</f>
        <v>0</v>
      </c>
      <c r="Q98">
        <f t="array" ref="Q98">IFERROR(CONCATENATE((INDEX($T$7:$T$78,SMALL(IF($T$7:$T$78&lt;&gt;"",IF($Q$7:$Q$78&lt;&gt;"",ROW($Q$7:$Q$78)-MIN(ROW($Q$7:$Q$78))+1,""),""),ROW()-ROW(A$80)+1)))," "),"")</f>
        <v>0</v>
      </c>
      <c r="R98">
        <f t="array" ref="R98">IFERROR(CONCATENATE(TEXT(INDEX($Q$7:$Q$78,SMALL(IF($T$7:$T$78&lt;&gt;"",IF($Q$7:$Q$78&lt;&gt;"",ROW($Q$7:$Q$78)-MIN(ROW($Q$7:$Q$78))+1,""),""),ROW()-ROW(A$80)+1)),"##0")," "),"")</f>
        <v>0</v>
      </c>
      <c r="S98">
        <f t="array" ref="S98">IFERROR(CONCATENATE((INDEX($A$7:$A$78,SMALL(IF($T$7:$T$78&lt;&gt;"",IF($Q$7:$Q$78&lt;&gt;"",ROW($Q$7:$Q$78)-MIN(ROW($Q$7:$Q$78))+1,""),""),ROW()-ROW(A$80)+1))),),"")</f>
        <v>0</v>
      </c>
      <c r="W98">
        <f t="array" ref="W98">IFERROR(CONCATENATE((INDEX($Z$7:$Z$78,SMALL(IF($Z$7:$Z$78&lt;&gt;"",IF($W$7:$W$78&lt;&gt;"",ROW($W$7:$W$78)-MIN(ROW($W$7:$W$78))+1,""),""),ROW()-ROW(A$80)+1))),","),"")</f>
        <v>0</v>
      </c>
      <c r="X98">
        <f t="array" ref="X98">IFERROR(CONCATENATE(TEXT(INDEX($W$7:$W$78,SMALL(IF($Z$7:$Z$78&lt;&gt;"",IF($W$7:$W$78&lt;&gt;"",ROW($W$7:$W$78)-MIN(ROW($W$7:$W$78))+1,""),""),ROW()-ROW(A$80)+1)),"##0"),","),"")</f>
        <v>0</v>
      </c>
      <c r="Y98">
        <f t="array" ref="Y98">IFERROR(CONCATENATE((INDEX($A$7:$A$78,SMALL(IF($Z$7:$Z$78&lt;&gt;"",IF($W$7:$W$78&lt;&gt;"",ROW($W$7:$W$78)-MIN(ROW($W$7:$W$78))+1,""),""),ROW()-ROW(A$80)+1))),),"")</f>
        <v>0</v>
      </c>
    </row>
    <row r="99" spans="11:25">
      <c r="K99">
        <f t="array" ref="K99">IFERROR(CONCATENATE(TEXT(INDEX($K$7:$K$78,SMALL(IF($N$7:$N$78&lt;&gt;"",IF($K$7:$K$78&lt;&gt;"",ROW($K$7:$K$78)-MIN(ROW($K$7:$K$78))+1,""),""),ROW()-ROW(A$80)+1)),"##0"),","),"")</f>
        <v>0</v>
      </c>
      <c r="L99">
        <f t="array" ref="L99">IFERROR(CONCATENATE((INDEX($N$7:$N$78,SMALL(IF($N$7:$N$78&lt;&gt;"",IF($K$7:$K$78&lt;&gt;"",ROW($K$7:$K$78)-MIN(ROW($K$7:$K$78))+1,""),""),ROW()-ROW(A$80)+1))),","),"")</f>
        <v>0</v>
      </c>
      <c r="M99">
        <f t="array" ref="M99">IFERROR(CONCATENATE((INDEX($A$7:$A$78,SMALL(IF($N$7:$N$78&lt;&gt;"",IF($K$7:$K$78&lt;&gt;"",ROW($K$7:$K$78)-MIN(ROW($K$7:$K$78))+1,""),""),ROW()-ROW(A$80)+1))),),"")</f>
        <v>0</v>
      </c>
      <c r="Q99">
        <f t="array" ref="Q99">IFERROR(CONCATENATE((INDEX($T$7:$T$78,SMALL(IF($T$7:$T$78&lt;&gt;"",IF($Q$7:$Q$78&lt;&gt;"",ROW($Q$7:$Q$78)-MIN(ROW($Q$7:$Q$78))+1,""),""),ROW()-ROW(A$80)+1)))," "),"")</f>
        <v>0</v>
      </c>
      <c r="R99">
        <f t="array" ref="R99">IFERROR(CONCATENATE(TEXT(INDEX($Q$7:$Q$78,SMALL(IF($T$7:$T$78&lt;&gt;"",IF($Q$7:$Q$78&lt;&gt;"",ROW($Q$7:$Q$78)-MIN(ROW($Q$7:$Q$78))+1,""),""),ROW()-ROW(A$80)+1)),"##0")," "),"")</f>
        <v>0</v>
      </c>
      <c r="S99">
        <f t="array" ref="S99">IFERROR(CONCATENATE((INDEX($A$7:$A$78,SMALL(IF($T$7:$T$78&lt;&gt;"",IF($Q$7:$Q$78&lt;&gt;"",ROW($Q$7:$Q$78)-MIN(ROW($Q$7:$Q$78))+1,""),""),ROW()-ROW(A$80)+1))),),"")</f>
        <v>0</v>
      </c>
      <c r="W99">
        <f t="array" ref="W99">IFERROR(CONCATENATE((INDEX($Z$7:$Z$78,SMALL(IF($Z$7:$Z$78&lt;&gt;"",IF($W$7:$W$78&lt;&gt;"",ROW($W$7:$W$78)-MIN(ROW($W$7:$W$78))+1,""),""),ROW()-ROW(A$80)+1))),","),"")</f>
        <v>0</v>
      </c>
      <c r="X99">
        <f t="array" ref="X99">IFERROR(CONCATENATE(TEXT(INDEX($W$7:$W$78,SMALL(IF($Z$7:$Z$78&lt;&gt;"",IF($W$7:$W$78&lt;&gt;"",ROW($W$7:$W$78)-MIN(ROW($W$7:$W$78))+1,""),""),ROW()-ROW(A$80)+1)),"##0"),","),"")</f>
        <v>0</v>
      </c>
      <c r="Y99">
        <f t="array" ref="Y99">IFERROR(CONCATENATE((INDEX($A$7:$A$78,SMALL(IF($Z$7:$Z$78&lt;&gt;"",IF($W$7:$W$78&lt;&gt;"",ROW($W$7:$W$78)-MIN(ROW($W$7:$W$78))+1,""),""),ROW()-ROW(A$80)+1))),),"")</f>
        <v>0</v>
      </c>
    </row>
    <row r="100" spans="11:25">
      <c r="K100">
        <f t="array" ref="K100">IFERROR(CONCATENATE(TEXT(INDEX($K$7:$K$78,SMALL(IF($N$7:$N$78&lt;&gt;"",IF($K$7:$K$78&lt;&gt;"",ROW($K$7:$K$78)-MIN(ROW($K$7:$K$78))+1,""),""),ROW()-ROW(A$80)+1)),"##0"),","),"")</f>
        <v>0</v>
      </c>
      <c r="L100">
        <f t="array" ref="L100">IFERROR(CONCATENATE((INDEX($N$7:$N$78,SMALL(IF($N$7:$N$78&lt;&gt;"",IF($K$7:$K$78&lt;&gt;"",ROW($K$7:$K$78)-MIN(ROW($K$7:$K$78))+1,""),""),ROW()-ROW(A$80)+1))),","),"")</f>
        <v>0</v>
      </c>
      <c r="M100">
        <f t="array" ref="M100">IFERROR(CONCATENATE((INDEX($A$7:$A$78,SMALL(IF($N$7:$N$78&lt;&gt;"",IF($K$7:$K$78&lt;&gt;"",ROW($K$7:$K$78)-MIN(ROW($K$7:$K$78))+1,""),""),ROW()-ROW(A$80)+1))),),"")</f>
        <v>0</v>
      </c>
      <c r="Q100">
        <f t="array" ref="Q100">IFERROR(CONCATENATE((INDEX($T$7:$T$78,SMALL(IF($T$7:$T$78&lt;&gt;"",IF($Q$7:$Q$78&lt;&gt;"",ROW($Q$7:$Q$78)-MIN(ROW($Q$7:$Q$78))+1,""),""),ROW()-ROW(A$80)+1)))," "),"")</f>
        <v>0</v>
      </c>
      <c r="R100">
        <f t="array" ref="R100">IFERROR(CONCATENATE(TEXT(INDEX($Q$7:$Q$78,SMALL(IF($T$7:$T$78&lt;&gt;"",IF($Q$7:$Q$78&lt;&gt;"",ROW($Q$7:$Q$78)-MIN(ROW($Q$7:$Q$78))+1,""),""),ROW()-ROW(A$80)+1)),"##0")," "),"")</f>
        <v>0</v>
      </c>
      <c r="S100">
        <f t="array" ref="S100">IFERROR(CONCATENATE((INDEX($A$7:$A$78,SMALL(IF($T$7:$T$78&lt;&gt;"",IF($Q$7:$Q$78&lt;&gt;"",ROW($Q$7:$Q$78)-MIN(ROW($Q$7:$Q$78))+1,""),""),ROW()-ROW(A$80)+1))),),"")</f>
        <v>0</v>
      </c>
      <c r="W100">
        <f t="array" ref="W100">IFERROR(CONCATENATE((INDEX($Z$7:$Z$78,SMALL(IF($Z$7:$Z$78&lt;&gt;"",IF($W$7:$W$78&lt;&gt;"",ROW($W$7:$W$78)-MIN(ROW($W$7:$W$78))+1,""),""),ROW()-ROW(A$80)+1))),","),"")</f>
        <v>0</v>
      </c>
      <c r="X100">
        <f t="array" ref="X100">IFERROR(CONCATENATE(TEXT(INDEX($W$7:$W$78,SMALL(IF($Z$7:$Z$78&lt;&gt;"",IF($W$7:$W$78&lt;&gt;"",ROW($W$7:$W$78)-MIN(ROW($W$7:$W$78))+1,""),""),ROW()-ROW(A$80)+1)),"##0"),","),"")</f>
        <v>0</v>
      </c>
      <c r="Y100">
        <f t="array" ref="Y100">IFERROR(CONCATENATE((INDEX($A$7:$A$78,SMALL(IF($Z$7:$Z$78&lt;&gt;"",IF($W$7:$W$78&lt;&gt;"",ROW($W$7:$W$78)-MIN(ROW($W$7:$W$78))+1,""),""),ROW()-ROW(A$80)+1))),),"")</f>
        <v>0</v>
      </c>
    </row>
    <row r="101" spans="11:25">
      <c r="K101">
        <f t="array" ref="K101">IFERROR(CONCATENATE(TEXT(INDEX($K$7:$K$78,SMALL(IF($N$7:$N$78&lt;&gt;"",IF($K$7:$K$78&lt;&gt;"",ROW($K$7:$K$78)-MIN(ROW($K$7:$K$78))+1,""),""),ROW()-ROW(A$80)+1)),"##0"),","),"")</f>
        <v>0</v>
      </c>
      <c r="L101">
        <f t="array" ref="L101">IFERROR(CONCATENATE((INDEX($N$7:$N$78,SMALL(IF($N$7:$N$78&lt;&gt;"",IF($K$7:$K$78&lt;&gt;"",ROW($K$7:$K$78)-MIN(ROW($K$7:$K$78))+1,""),""),ROW()-ROW(A$80)+1))),","),"")</f>
        <v>0</v>
      </c>
      <c r="M101">
        <f t="array" ref="M101">IFERROR(CONCATENATE((INDEX($A$7:$A$78,SMALL(IF($N$7:$N$78&lt;&gt;"",IF($K$7:$K$78&lt;&gt;"",ROW($K$7:$K$78)-MIN(ROW($K$7:$K$78))+1,""),""),ROW()-ROW(A$80)+1))),),"")</f>
        <v>0</v>
      </c>
      <c r="Q101">
        <f t="array" ref="Q101">IFERROR(CONCATENATE((INDEX($T$7:$T$78,SMALL(IF($T$7:$T$78&lt;&gt;"",IF($Q$7:$Q$78&lt;&gt;"",ROW($Q$7:$Q$78)-MIN(ROW($Q$7:$Q$78))+1,""),""),ROW()-ROW(A$80)+1)))," "),"")</f>
        <v>0</v>
      </c>
      <c r="R101">
        <f t="array" ref="R101">IFERROR(CONCATENATE(TEXT(INDEX($Q$7:$Q$78,SMALL(IF($T$7:$T$78&lt;&gt;"",IF($Q$7:$Q$78&lt;&gt;"",ROW($Q$7:$Q$78)-MIN(ROW($Q$7:$Q$78))+1,""),""),ROW()-ROW(A$80)+1)),"##0")," "),"")</f>
        <v>0</v>
      </c>
      <c r="S101">
        <f t="array" ref="S101">IFERROR(CONCATENATE((INDEX($A$7:$A$78,SMALL(IF($T$7:$T$78&lt;&gt;"",IF($Q$7:$Q$78&lt;&gt;"",ROW($Q$7:$Q$78)-MIN(ROW($Q$7:$Q$78))+1,""),""),ROW()-ROW(A$80)+1))),),"")</f>
        <v>0</v>
      </c>
      <c r="W101">
        <f t="array" ref="W101">IFERROR(CONCATENATE((INDEX($Z$7:$Z$78,SMALL(IF($Z$7:$Z$78&lt;&gt;"",IF($W$7:$W$78&lt;&gt;"",ROW($W$7:$W$78)-MIN(ROW($W$7:$W$78))+1,""),""),ROW()-ROW(A$80)+1))),","),"")</f>
        <v>0</v>
      </c>
      <c r="X101">
        <f t="array" ref="X101">IFERROR(CONCATENATE(TEXT(INDEX($W$7:$W$78,SMALL(IF($Z$7:$Z$78&lt;&gt;"",IF($W$7:$W$78&lt;&gt;"",ROW($W$7:$W$78)-MIN(ROW($W$7:$W$78))+1,""),""),ROW()-ROW(A$80)+1)),"##0"),","),"")</f>
        <v>0</v>
      </c>
      <c r="Y101">
        <f t="array" ref="Y101">IFERROR(CONCATENATE((INDEX($A$7:$A$78,SMALL(IF($Z$7:$Z$78&lt;&gt;"",IF($W$7:$W$78&lt;&gt;"",ROW($W$7:$W$78)-MIN(ROW($W$7:$W$78))+1,""),""),ROW()-ROW(A$80)+1))),),"")</f>
        <v>0</v>
      </c>
    </row>
    <row r="102" spans="11:25">
      <c r="K102">
        <f t="array" ref="K102">IFERROR(CONCATENATE(TEXT(INDEX($K$7:$K$78,SMALL(IF($N$7:$N$78&lt;&gt;"",IF($K$7:$K$78&lt;&gt;"",ROW($K$7:$K$78)-MIN(ROW($K$7:$K$78))+1,""),""),ROW()-ROW(A$80)+1)),"##0"),","),"")</f>
        <v>0</v>
      </c>
      <c r="L102">
        <f t="array" ref="L102">IFERROR(CONCATENATE((INDEX($N$7:$N$78,SMALL(IF($N$7:$N$78&lt;&gt;"",IF($K$7:$K$78&lt;&gt;"",ROW($K$7:$K$78)-MIN(ROW($K$7:$K$78))+1,""),""),ROW()-ROW(A$80)+1))),","),"")</f>
        <v>0</v>
      </c>
      <c r="M102">
        <f t="array" ref="M102">IFERROR(CONCATENATE((INDEX($A$7:$A$78,SMALL(IF($N$7:$N$78&lt;&gt;"",IF($K$7:$K$78&lt;&gt;"",ROW($K$7:$K$78)-MIN(ROW($K$7:$K$78))+1,""),""),ROW()-ROW(A$80)+1))),),"")</f>
        <v>0</v>
      </c>
      <c r="Q102">
        <f t="array" ref="Q102">IFERROR(CONCATENATE((INDEX($T$7:$T$78,SMALL(IF($T$7:$T$78&lt;&gt;"",IF($Q$7:$Q$78&lt;&gt;"",ROW($Q$7:$Q$78)-MIN(ROW($Q$7:$Q$78))+1,""),""),ROW()-ROW(A$80)+1)))," "),"")</f>
        <v>0</v>
      </c>
      <c r="R102">
        <f t="array" ref="R102">IFERROR(CONCATENATE(TEXT(INDEX($Q$7:$Q$78,SMALL(IF($T$7:$T$78&lt;&gt;"",IF($Q$7:$Q$78&lt;&gt;"",ROW($Q$7:$Q$78)-MIN(ROW($Q$7:$Q$78))+1,""),""),ROW()-ROW(A$80)+1)),"##0")," "),"")</f>
        <v>0</v>
      </c>
      <c r="S102">
        <f t="array" ref="S102">IFERROR(CONCATENATE((INDEX($A$7:$A$78,SMALL(IF($T$7:$T$78&lt;&gt;"",IF($Q$7:$Q$78&lt;&gt;"",ROW($Q$7:$Q$78)-MIN(ROW($Q$7:$Q$78))+1,""),""),ROW()-ROW(A$80)+1))),),"")</f>
        <v>0</v>
      </c>
      <c r="W102">
        <f t="array" ref="W102">IFERROR(CONCATENATE((INDEX($Z$7:$Z$78,SMALL(IF($Z$7:$Z$78&lt;&gt;"",IF($W$7:$W$78&lt;&gt;"",ROW($W$7:$W$78)-MIN(ROW($W$7:$W$78))+1,""),""),ROW()-ROW(A$80)+1))),","),"")</f>
        <v>0</v>
      </c>
      <c r="X102">
        <f t="array" ref="X102">IFERROR(CONCATENATE(TEXT(INDEX($W$7:$W$78,SMALL(IF($Z$7:$Z$78&lt;&gt;"",IF($W$7:$W$78&lt;&gt;"",ROW($W$7:$W$78)-MIN(ROW($W$7:$W$78))+1,""),""),ROW()-ROW(A$80)+1)),"##0"),","),"")</f>
        <v>0</v>
      </c>
      <c r="Y102">
        <f t="array" ref="Y102">IFERROR(CONCATENATE((INDEX($A$7:$A$78,SMALL(IF($Z$7:$Z$78&lt;&gt;"",IF($W$7:$W$78&lt;&gt;"",ROW($W$7:$W$78)-MIN(ROW($W$7:$W$78))+1,""),""),ROW()-ROW(A$80)+1))),),"")</f>
        <v>0</v>
      </c>
    </row>
    <row r="103" spans="11:25">
      <c r="K103">
        <f t="array" ref="K103">IFERROR(CONCATENATE(TEXT(INDEX($K$7:$K$78,SMALL(IF($N$7:$N$78&lt;&gt;"",IF($K$7:$K$78&lt;&gt;"",ROW($K$7:$K$78)-MIN(ROW($K$7:$K$78))+1,""),""),ROW()-ROW(A$80)+1)),"##0"),","),"")</f>
        <v>0</v>
      </c>
      <c r="L103">
        <f t="array" ref="L103">IFERROR(CONCATENATE((INDEX($N$7:$N$78,SMALL(IF($N$7:$N$78&lt;&gt;"",IF($K$7:$K$78&lt;&gt;"",ROW($K$7:$K$78)-MIN(ROW($K$7:$K$78))+1,""),""),ROW()-ROW(A$80)+1))),","),"")</f>
        <v>0</v>
      </c>
      <c r="M103">
        <f t="array" ref="M103">IFERROR(CONCATENATE((INDEX($A$7:$A$78,SMALL(IF($N$7:$N$78&lt;&gt;"",IF($K$7:$K$78&lt;&gt;"",ROW($K$7:$K$78)-MIN(ROW($K$7:$K$78))+1,""),""),ROW()-ROW(A$80)+1))),),"")</f>
        <v>0</v>
      </c>
      <c r="Q103">
        <f t="array" ref="Q103">IFERROR(CONCATENATE((INDEX($T$7:$T$78,SMALL(IF($T$7:$T$78&lt;&gt;"",IF($Q$7:$Q$78&lt;&gt;"",ROW($Q$7:$Q$78)-MIN(ROW($Q$7:$Q$78))+1,""),""),ROW()-ROW(A$80)+1)))," "),"")</f>
        <v>0</v>
      </c>
      <c r="R103">
        <f t="array" ref="R103">IFERROR(CONCATENATE(TEXT(INDEX($Q$7:$Q$78,SMALL(IF($T$7:$T$78&lt;&gt;"",IF($Q$7:$Q$78&lt;&gt;"",ROW($Q$7:$Q$78)-MIN(ROW($Q$7:$Q$78))+1,""),""),ROW()-ROW(A$80)+1)),"##0")," "),"")</f>
        <v>0</v>
      </c>
      <c r="S103">
        <f t="array" ref="S103">IFERROR(CONCATENATE((INDEX($A$7:$A$78,SMALL(IF($T$7:$T$78&lt;&gt;"",IF($Q$7:$Q$78&lt;&gt;"",ROW($Q$7:$Q$78)-MIN(ROW($Q$7:$Q$78))+1,""),""),ROW()-ROW(A$80)+1))),),"")</f>
        <v>0</v>
      </c>
      <c r="W103">
        <f t="array" ref="W103">IFERROR(CONCATENATE((INDEX($Z$7:$Z$78,SMALL(IF($Z$7:$Z$78&lt;&gt;"",IF($W$7:$W$78&lt;&gt;"",ROW($W$7:$W$78)-MIN(ROW($W$7:$W$78))+1,""),""),ROW()-ROW(A$80)+1))),","),"")</f>
        <v>0</v>
      </c>
      <c r="X103">
        <f t="array" ref="X103">IFERROR(CONCATENATE(TEXT(INDEX($W$7:$W$78,SMALL(IF($Z$7:$Z$78&lt;&gt;"",IF($W$7:$W$78&lt;&gt;"",ROW($W$7:$W$78)-MIN(ROW($W$7:$W$78))+1,""),""),ROW()-ROW(A$80)+1)),"##0"),","),"")</f>
        <v>0</v>
      </c>
      <c r="Y103">
        <f t="array" ref="Y103">IFERROR(CONCATENATE((INDEX($A$7:$A$78,SMALL(IF($Z$7:$Z$78&lt;&gt;"",IF($W$7:$W$78&lt;&gt;"",ROW($W$7:$W$78)-MIN(ROW($W$7:$W$78))+1,""),""),ROW()-ROW(A$80)+1))),),"")</f>
        <v>0</v>
      </c>
    </row>
    <row r="104" spans="11:25">
      <c r="K104">
        <f t="array" ref="K104">IFERROR(CONCATENATE(TEXT(INDEX($K$7:$K$78,SMALL(IF($N$7:$N$78&lt;&gt;"",IF($K$7:$K$78&lt;&gt;"",ROW($K$7:$K$78)-MIN(ROW($K$7:$K$78))+1,""),""),ROW()-ROW(A$80)+1)),"##0"),","),"")</f>
        <v>0</v>
      </c>
      <c r="L104">
        <f t="array" ref="L104">IFERROR(CONCATENATE((INDEX($N$7:$N$78,SMALL(IF($N$7:$N$78&lt;&gt;"",IF($K$7:$K$78&lt;&gt;"",ROW($K$7:$K$78)-MIN(ROW($K$7:$K$78))+1,""),""),ROW()-ROW(A$80)+1))),","),"")</f>
        <v>0</v>
      </c>
      <c r="M104">
        <f t="array" ref="M104">IFERROR(CONCATENATE((INDEX($A$7:$A$78,SMALL(IF($N$7:$N$78&lt;&gt;"",IF($K$7:$K$78&lt;&gt;"",ROW($K$7:$K$78)-MIN(ROW($K$7:$K$78))+1,""),""),ROW()-ROW(A$80)+1))),),"")</f>
        <v>0</v>
      </c>
      <c r="Q104">
        <f t="array" ref="Q104">IFERROR(CONCATENATE((INDEX($T$7:$T$78,SMALL(IF($T$7:$T$78&lt;&gt;"",IF($Q$7:$Q$78&lt;&gt;"",ROW($Q$7:$Q$78)-MIN(ROW($Q$7:$Q$78))+1,""),""),ROW()-ROW(A$80)+1)))," "),"")</f>
        <v>0</v>
      </c>
      <c r="R104">
        <f t="array" ref="R104">IFERROR(CONCATENATE(TEXT(INDEX($Q$7:$Q$78,SMALL(IF($T$7:$T$78&lt;&gt;"",IF($Q$7:$Q$78&lt;&gt;"",ROW($Q$7:$Q$78)-MIN(ROW($Q$7:$Q$78))+1,""),""),ROW()-ROW(A$80)+1)),"##0")," "),"")</f>
        <v>0</v>
      </c>
      <c r="S104">
        <f t="array" ref="S104">IFERROR(CONCATENATE((INDEX($A$7:$A$78,SMALL(IF($T$7:$T$78&lt;&gt;"",IF($Q$7:$Q$78&lt;&gt;"",ROW($Q$7:$Q$78)-MIN(ROW($Q$7:$Q$78))+1,""),""),ROW()-ROW(A$80)+1))),),"")</f>
        <v>0</v>
      </c>
      <c r="W104">
        <f t="array" ref="W104">IFERROR(CONCATENATE((INDEX($Z$7:$Z$78,SMALL(IF($Z$7:$Z$78&lt;&gt;"",IF($W$7:$W$78&lt;&gt;"",ROW($W$7:$W$78)-MIN(ROW($W$7:$W$78))+1,""),""),ROW()-ROW(A$80)+1))),","),"")</f>
        <v>0</v>
      </c>
      <c r="X104">
        <f t="array" ref="X104">IFERROR(CONCATENATE(TEXT(INDEX($W$7:$W$78,SMALL(IF($Z$7:$Z$78&lt;&gt;"",IF($W$7:$W$78&lt;&gt;"",ROW($W$7:$W$78)-MIN(ROW($W$7:$W$78))+1,""),""),ROW()-ROW(A$80)+1)),"##0"),","),"")</f>
        <v>0</v>
      </c>
      <c r="Y104">
        <f t="array" ref="Y104">IFERROR(CONCATENATE((INDEX($A$7:$A$78,SMALL(IF($Z$7:$Z$78&lt;&gt;"",IF($W$7:$W$78&lt;&gt;"",ROW($W$7:$W$78)-MIN(ROW($W$7:$W$78))+1,""),""),ROW()-ROW(A$80)+1))),),"")</f>
        <v>0</v>
      </c>
    </row>
    <row r="105" spans="11:25">
      <c r="K105">
        <f t="array" ref="K105">IFERROR(CONCATENATE(TEXT(INDEX($K$7:$K$78,SMALL(IF($N$7:$N$78&lt;&gt;"",IF($K$7:$K$78&lt;&gt;"",ROW($K$7:$K$78)-MIN(ROW($K$7:$K$78))+1,""),""),ROW()-ROW(A$80)+1)),"##0"),","),"")</f>
        <v>0</v>
      </c>
      <c r="L105">
        <f t="array" ref="L105">IFERROR(CONCATENATE((INDEX($N$7:$N$78,SMALL(IF($N$7:$N$78&lt;&gt;"",IF($K$7:$K$78&lt;&gt;"",ROW($K$7:$K$78)-MIN(ROW($K$7:$K$78))+1,""),""),ROW()-ROW(A$80)+1))),","),"")</f>
        <v>0</v>
      </c>
      <c r="M105">
        <f t="array" ref="M105">IFERROR(CONCATENATE((INDEX($A$7:$A$78,SMALL(IF($N$7:$N$78&lt;&gt;"",IF($K$7:$K$78&lt;&gt;"",ROW($K$7:$K$78)-MIN(ROW($K$7:$K$78))+1,""),""),ROW()-ROW(A$80)+1))),),"")</f>
        <v>0</v>
      </c>
      <c r="Q105">
        <f t="array" ref="Q105">IFERROR(CONCATENATE((INDEX($T$7:$T$78,SMALL(IF($T$7:$T$78&lt;&gt;"",IF($Q$7:$Q$78&lt;&gt;"",ROW($Q$7:$Q$78)-MIN(ROW($Q$7:$Q$78))+1,""),""),ROW()-ROW(A$80)+1)))," "),"")</f>
        <v>0</v>
      </c>
      <c r="R105">
        <f t="array" ref="R105">IFERROR(CONCATENATE(TEXT(INDEX($Q$7:$Q$78,SMALL(IF($T$7:$T$78&lt;&gt;"",IF($Q$7:$Q$78&lt;&gt;"",ROW($Q$7:$Q$78)-MIN(ROW($Q$7:$Q$78))+1,""),""),ROW()-ROW(A$80)+1)),"##0")," "),"")</f>
        <v>0</v>
      </c>
      <c r="S105">
        <f t="array" ref="S105">IFERROR(CONCATENATE((INDEX($A$7:$A$78,SMALL(IF($T$7:$T$78&lt;&gt;"",IF($Q$7:$Q$78&lt;&gt;"",ROW($Q$7:$Q$78)-MIN(ROW($Q$7:$Q$78))+1,""),""),ROW()-ROW(A$80)+1))),),"")</f>
        <v>0</v>
      </c>
      <c r="W105">
        <f t="array" ref="W105">IFERROR(CONCATENATE((INDEX($Z$7:$Z$78,SMALL(IF($Z$7:$Z$78&lt;&gt;"",IF($W$7:$W$78&lt;&gt;"",ROW($W$7:$W$78)-MIN(ROW($W$7:$W$78))+1,""),""),ROW()-ROW(A$80)+1))),","),"")</f>
        <v>0</v>
      </c>
      <c r="X105">
        <f t="array" ref="X105">IFERROR(CONCATENATE(TEXT(INDEX($W$7:$W$78,SMALL(IF($Z$7:$Z$78&lt;&gt;"",IF($W$7:$W$78&lt;&gt;"",ROW($W$7:$W$78)-MIN(ROW($W$7:$W$78))+1,""),""),ROW()-ROW(A$80)+1)),"##0"),","),"")</f>
        <v>0</v>
      </c>
      <c r="Y105">
        <f t="array" ref="Y105">IFERROR(CONCATENATE((INDEX($A$7:$A$78,SMALL(IF($Z$7:$Z$78&lt;&gt;"",IF($W$7:$W$78&lt;&gt;"",ROW($W$7:$W$78)-MIN(ROW($W$7:$W$78))+1,""),""),ROW()-ROW(A$80)+1))),),"")</f>
        <v>0</v>
      </c>
    </row>
    <row r="106" spans="11:25">
      <c r="K106">
        <f t="array" ref="K106">IFERROR(CONCATENATE(TEXT(INDEX($K$7:$K$78,SMALL(IF($N$7:$N$78&lt;&gt;"",IF($K$7:$K$78&lt;&gt;"",ROW($K$7:$K$78)-MIN(ROW($K$7:$K$78))+1,""),""),ROW()-ROW(A$80)+1)),"##0"),","),"")</f>
        <v>0</v>
      </c>
      <c r="L106">
        <f t="array" ref="L106">IFERROR(CONCATENATE((INDEX($N$7:$N$78,SMALL(IF($N$7:$N$78&lt;&gt;"",IF($K$7:$K$78&lt;&gt;"",ROW($K$7:$K$78)-MIN(ROW($K$7:$K$78))+1,""),""),ROW()-ROW(A$80)+1))),","),"")</f>
        <v>0</v>
      </c>
      <c r="M106">
        <f t="array" ref="M106">IFERROR(CONCATENATE((INDEX($A$7:$A$78,SMALL(IF($N$7:$N$78&lt;&gt;"",IF($K$7:$K$78&lt;&gt;"",ROW($K$7:$K$78)-MIN(ROW($K$7:$K$78))+1,""),""),ROW()-ROW(A$80)+1))),),"")</f>
        <v>0</v>
      </c>
      <c r="Q106">
        <f t="array" ref="Q106">IFERROR(CONCATENATE((INDEX($T$7:$T$78,SMALL(IF($T$7:$T$78&lt;&gt;"",IF($Q$7:$Q$78&lt;&gt;"",ROW($Q$7:$Q$78)-MIN(ROW($Q$7:$Q$78))+1,""),""),ROW()-ROW(A$80)+1)))," "),"")</f>
        <v>0</v>
      </c>
      <c r="R106">
        <f t="array" ref="R106">IFERROR(CONCATENATE(TEXT(INDEX($Q$7:$Q$78,SMALL(IF($T$7:$T$78&lt;&gt;"",IF($Q$7:$Q$78&lt;&gt;"",ROW($Q$7:$Q$78)-MIN(ROW($Q$7:$Q$78))+1,""),""),ROW()-ROW(A$80)+1)),"##0")," "),"")</f>
        <v>0</v>
      </c>
      <c r="S106">
        <f t="array" ref="S106">IFERROR(CONCATENATE((INDEX($A$7:$A$78,SMALL(IF($T$7:$T$78&lt;&gt;"",IF($Q$7:$Q$78&lt;&gt;"",ROW($Q$7:$Q$78)-MIN(ROW($Q$7:$Q$78))+1,""),""),ROW()-ROW(A$80)+1))),),"")</f>
        <v>0</v>
      </c>
      <c r="W106">
        <f t="array" ref="W106">IFERROR(CONCATENATE((INDEX($Z$7:$Z$78,SMALL(IF($Z$7:$Z$78&lt;&gt;"",IF($W$7:$W$78&lt;&gt;"",ROW($W$7:$W$78)-MIN(ROW($W$7:$W$78))+1,""),""),ROW()-ROW(A$80)+1))),","),"")</f>
        <v>0</v>
      </c>
      <c r="X106">
        <f t="array" ref="X106">IFERROR(CONCATENATE(TEXT(INDEX($W$7:$W$78,SMALL(IF($Z$7:$Z$78&lt;&gt;"",IF($W$7:$W$78&lt;&gt;"",ROW($W$7:$W$78)-MIN(ROW($W$7:$W$78))+1,""),""),ROW()-ROW(A$80)+1)),"##0"),","),"")</f>
        <v>0</v>
      </c>
      <c r="Y106">
        <f t="array" ref="Y106">IFERROR(CONCATENATE((INDEX($A$7:$A$78,SMALL(IF($Z$7:$Z$78&lt;&gt;"",IF($W$7:$W$78&lt;&gt;"",ROW($W$7:$W$78)-MIN(ROW($W$7:$W$78))+1,""),""),ROW()-ROW(A$80)+1))),),"")</f>
        <v>0</v>
      </c>
    </row>
    <row r="107" spans="11:25">
      <c r="K107">
        <f t="array" ref="K107">IFERROR(CONCATENATE(TEXT(INDEX($K$7:$K$78,SMALL(IF($N$7:$N$78&lt;&gt;"",IF($K$7:$K$78&lt;&gt;"",ROW($K$7:$K$78)-MIN(ROW($K$7:$K$78))+1,""),""),ROW()-ROW(A$80)+1)),"##0"),","),"")</f>
        <v>0</v>
      </c>
      <c r="L107">
        <f t="array" ref="L107">IFERROR(CONCATENATE((INDEX($N$7:$N$78,SMALL(IF($N$7:$N$78&lt;&gt;"",IF($K$7:$K$78&lt;&gt;"",ROW($K$7:$K$78)-MIN(ROW($K$7:$K$78))+1,""),""),ROW()-ROW(A$80)+1))),","),"")</f>
        <v>0</v>
      </c>
      <c r="M107">
        <f t="array" ref="M107">IFERROR(CONCATENATE((INDEX($A$7:$A$78,SMALL(IF($N$7:$N$78&lt;&gt;"",IF($K$7:$K$78&lt;&gt;"",ROW($K$7:$K$78)-MIN(ROW($K$7:$K$78))+1,""),""),ROW()-ROW(A$80)+1))),),"")</f>
        <v>0</v>
      </c>
      <c r="Q107">
        <f t="array" ref="Q107">IFERROR(CONCATENATE((INDEX($T$7:$T$78,SMALL(IF($T$7:$T$78&lt;&gt;"",IF($Q$7:$Q$78&lt;&gt;"",ROW($Q$7:$Q$78)-MIN(ROW($Q$7:$Q$78))+1,""),""),ROW()-ROW(A$80)+1)))," "),"")</f>
        <v>0</v>
      </c>
      <c r="R107">
        <f t="array" ref="R107">IFERROR(CONCATENATE(TEXT(INDEX($Q$7:$Q$78,SMALL(IF($T$7:$T$78&lt;&gt;"",IF($Q$7:$Q$78&lt;&gt;"",ROW($Q$7:$Q$78)-MIN(ROW($Q$7:$Q$78))+1,""),""),ROW()-ROW(A$80)+1)),"##0")," "),"")</f>
        <v>0</v>
      </c>
      <c r="S107">
        <f t="array" ref="S107">IFERROR(CONCATENATE((INDEX($A$7:$A$78,SMALL(IF($T$7:$T$78&lt;&gt;"",IF($Q$7:$Q$78&lt;&gt;"",ROW($Q$7:$Q$78)-MIN(ROW($Q$7:$Q$78))+1,""),""),ROW()-ROW(A$80)+1))),),"")</f>
        <v>0</v>
      </c>
      <c r="W107">
        <f t="array" ref="W107">IFERROR(CONCATENATE((INDEX($Z$7:$Z$78,SMALL(IF($Z$7:$Z$78&lt;&gt;"",IF($W$7:$W$78&lt;&gt;"",ROW($W$7:$W$78)-MIN(ROW($W$7:$W$78))+1,""),""),ROW()-ROW(A$80)+1))),","),"")</f>
        <v>0</v>
      </c>
      <c r="X107">
        <f t="array" ref="X107">IFERROR(CONCATENATE(TEXT(INDEX($W$7:$W$78,SMALL(IF($Z$7:$Z$78&lt;&gt;"",IF($W$7:$W$78&lt;&gt;"",ROW($W$7:$W$78)-MIN(ROW($W$7:$W$78))+1,""),""),ROW()-ROW(A$80)+1)),"##0"),","),"")</f>
        <v>0</v>
      </c>
      <c r="Y107">
        <f t="array" ref="Y107">IFERROR(CONCATENATE((INDEX($A$7:$A$78,SMALL(IF($Z$7:$Z$78&lt;&gt;"",IF($W$7:$W$78&lt;&gt;"",ROW($W$7:$W$78)-MIN(ROW($W$7:$W$78))+1,""),""),ROW()-ROW(A$80)+1))),),"")</f>
        <v>0</v>
      </c>
    </row>
    <row r="108" spans="11:25">
      <c r="K108">
        <f t="array" ref="K108">IFERROR(CONCATENATE(TEXT(INDEX($K$7:$K$78,SMALL(IF($N$7:$N$78&lt;&gt;"",IF($K$7:$K$78&lt;&gt;"",ROW($K$7:$K$78)-MIN(ROW($K$7:$K$78))+1,""),""),ROW()-ROW(A$80)+1)),"##0"),","),"")</f>
        <v>0</v>
      </c>
      <c r="L108">
        <f t="array" ref="L108">IFERROR(CONCATENATE((INDEX($N$7:$N$78,SMALL(IF($N$7:$N$78&lt;&gt;"",IF($K$7:$K$78&lt;&gt;"",ROW($K$7:$K$78)-MIN(ROW($K$7:$K$78))+1,""),""),ROW()-ROW(A$80)+1))),","),"")</f>
        <v>0</v>
      </c>
      <c r="M108">
        <f t="array" ref="M108">IFERROR(CONCATENATE((INDEX($A$7:$A$78,SMALL(IF($N$7:$N$78&lt;&gt;"",IF($K$7:$K$78&lt;&gt;"",ROW($K$7:$K$78)-MIN(ROW($K$7:$K$78))+1,""),""),ROW()-ROW(A$80)+1))),),"")</f>
        <v>0</v>
      </c>
      <c r="Q108">
        <f t="array" ref="Q108">IFERROR(CONCATENATE((INDEX($T$7:$T$78,SMALL(IF($T$7:$T$78&lt;&gt;"",IF($Q$7:$Q$78&lt;&gt;"",ROW($Q$7:$Q$78)-MIN(ROW($Q$7:$Q$78))+1,""),""),ROW()-ROW(A$80)+1)))," "),"")</f>
        <v>0</v>
      </c>
      <c r="R108">
        <f t="array" ref="R108">IFERROR(CONCATENATE(TEXT(INDEX($Q$7:$Q$78,SMALL(IF($T$7:$T$78&lt;&gt;"",IF($Q$7:$Q$78&lt;&gt;"",ROW($Q$7:$Q$78)-MIN(ROW($Q$7:$Q$78))+1,""),""),ROW()-ROW(A$80)+1)),"##0")," "),"")</f>
        <v>0</v>
      </c>
      <c r="S108">
        <f t="array" ref="S108">IFERROR(CONCATENATE((INDEX($A$7:$A$78,SMALL(IF($T$7:$T$78&lt;&gt;"",IF($Q$7:$Q$78&lt;&gt;"",ROW($Q$7:$Q$78)-MIN(ROW($Q$7:$Q$78))+1,""),""),ROW()-ROW(A$80)+1))),),"")</f>
        <v>0</v>
      </c>
      <c r="W108">
        <f t="array" ref="W108">IFERROR(CONCATENATE((INDEX($Z$7:$Z$78,SMALL(IF($Z$7:$Z$78&lt;&gt;"",IF($W$7:$W$78&lt;&gt;"",ROW($W$7:$W$78)-MIN(ROW($W$7:$W$78))+1,""),""),ROW()-ROW(A$80)+1))),","),"")</f>
        <v>0</v>
      </c>
      <c r="X108">
        <f t="array" ref="X108">IFERROR(CONCATENATE(TEXT(INDEX($W$7:$W$78,SMALL(IF($Z$7:$Z$78&lt;&gt;"",IF($W$7:$W$78&lt;&gt;"",ROW($W$7:$W$78)-MIN(ROW($W$7:$W$78))+1,""),""),ROW()-ROW(A$80)+1)),"##0"),","),"")</f>
        <v>0</v>
      </c>
      <c r="Y108">
        <f t="array" ref="Y108">IFERROR(CONCATENATE((INDEX($A$7:$A$78,SMALL(IF($Z$7:$Z$78&lt;&gt;"",IF($W$7:$W$78&lt;&gt;"",ROW($W$7:$W$78)-MIN(ROW($W$7:$W$78))+1,""),""),ROW()-ROW(A$80)+1))),),"")</f>
        <v>0</v>
      </c>
    </row>
    <row r="109" spans="11:25">
      <c r="K109">
        <f t="array" ref="K109">IFERROR(CONCATENATE(TEXT(INDEX($K$7:$K$78,SMALL(IF($N$7:$N$78&lt;&gt;"",IF($K$7:$K$78&lt;&gt;"",ROW($K$7:$K$78)-MIN(ROW($K$7:$K$78))+1,""),""),ROW()-ROW(A$80)+1)),"##0"),","),"")</f>
        <v>0</v>
      </c>
      <c r="L109">
        <f t="array" ref="L109">IFERROR(CONCATENATE((INDEX($N$7:$N$78,SMALL(IF($N$7:$N$78&lt;&gt;"",IF($K$7:$K$78&lt;&gt;"",ROW($K$7:$K$78)-MIN(ROW($K$7:$K$78))+1,""),""),ROW()-ROW(A$80)+1))),","),"")</f>
        <v>0</v>
      </c>
      <c r="M109">
        <f t="array" ref="M109">IFERROR(CONCATENATE((INDEX($A$7:$A$78,SMALL(IF($N$7:$N$78&lt;&gt;"",IF($K$7:$K$78&lt;&gt;"",ROW($K$7:$K$78)-MIN(ROW($K$7:$K$78))+1,""),""),ROW()-ROW(A$80)+1))),),"")</f>
        <v>0</v>
      </c>
      <c r="Q109">
        <f t="array" ref="Q109">IFERROR(CONCATENATE((INDEX($T$7:$T$78,SMALL(IF($T$7:$T$78&lt;&gt;"",IF($Q$7:$Q$78&lt;&gt;"",ROW($Q$7:$Q$78)-MIN(ROW($Q$7:$Q$78))+1,""),""),ROW()-ROW(A$80)+1)))," "),"")</f>
        <v>0</v>
      </c>
      <c r="R109">
        <f t="array" ref="R109">IFERROR(CONCATENATE(TEXT(INDEX($Q$7:$Q$78,SMALL(IF($T$7:$T$78&lt;&gt;"",IF($Q$7:$Q$78&lt;&gt;"",ROW($Q$7:$Q$78)-MIN(ROW($Q$7:$Q$78))+1,""),""),ROW()-ROW(A$80)+1)),"##0")," "),"")</f>
        <v>0</v>
      </c>
      <c r="S109">
        <f t="array" ref="S109">IFERROR(CONCATENATE((INDEX($A$7:$A$78,SMALL(IF($T$7:$T$78&lt;&gt;"",IF($Q$7:$Q$78&lt;&gt;"",ROW($Q$7:$Q$78)-MIN(ROW($Q$7:$Q$78))+1,""),""),ROW()-ROW(A$80)+1))),),"")</f>
        <v>0</v>
      </c>
      <c r="W109">
        <f t="array" ref="W109">IFERROR(CONCATENATE((INDEX($Z$7:$Z$78,SMALL(IF($Z$7:$Z$78&lt;&gt;"",IF($W$7:$W$78&lt;&gt;"",ROW($W$7:$W$78)-MIN(ROW($W$7:$W$78))+1,""),""),ROW()-ROW(A$80)+1))),","),"")</f>
        <v>0</v>
      </c>
      <c r="X109">
        <f t="array" ref="X109">IFERROR(CONCATENATE(TEXT(INDEX($W$7:$W$78,SMALL(IF($Z$7:$Z$78&lt;&gt;"",IF($W$7:$W$78&lt;&gt;"",ROW($W$7:$W$78)-MIN(ROW($W$7:$W$78))+1,""),""),ROW()-ROW(A$80)+1)),"##0"),","),"")</f>
        <v>0</v>
      </c>
      <c r="Y109">
        <f t="array" ref="Y109">IFERROR(CONCATENATE((INDEX($A$7:$A$78,SMALL(IF($Z$7:$Z$78&lt;&gt;"",IF($W$7:$W$78&lt;&gt;"",ROW($W$7:$W$78)-MIN(ROW($W$7:$W$78))+1,""),""),ROW()-ROW(A$80)+1))),),"")</f>
        <v>0</v>
      </c>
    </row>
    <row r="110" spans="11:25">
      <c r="K110">
        <f t="array" ref="K110">IFERROR(CONCATENATE(TEXT(INDEX($K$7:$K$78,SMALL(IF($N$7:$N$78&lt;&gt;"",IF($K$7:$K$78&lt;&gt;"",ROW($K$7:$K$78)-MIN(ROW($K$7:$K$78))+1,""),""),ROW()-ROW(A$80)+1)),"##0"),","),"")</f>
        <v>0</v>
      </c>
      <c r="L110">
        <f t="array" ref="L110">IFERROR(CONCATENATE((INDEX($N$7:$N$78,SMALL(IF($N$7:$N$78&lt;&gt;"",IF($K$7:$K$78&lt;&gt;"",ROW($K$7:$K$78)-MIN(ROW($K$7:$K$78))+1,""),""),ROW()-ROW(A$80)+1))),","),"")</f>
        <v>0</v>
      </c>
      <c r="M110">
        <f t="array" ref="M110">IFERROR(CONCATENATE((INDEX($A$7:$A$78,SMALL(IF($N$7:$N$78&lt;&gt;"",IF($K$7:$K$78&lt;&gt;"",ROW($K$7:$K$78)-MIN(ROW($K$7:$K$78))+1,""),""),ROW()-ROW(A$80)+1))),),"")</f>
        <v>0</v>
      </c>
      <c r="Q110">
        <f t="array" ref="Q110">IFERROR(CONCATENATE((INDEX($T$7:$T$78,SMALL(IF($T$7:$T$78&lt;&gt;"",IF($Q$7:$Q$78&lt;&gt;"",ROW($Q$7:$Q$78)-MIN(ROW($Q$7:$Q$78))+1,""),""),ROW()-ROW(A$80)+1)))," "),"")</f>
        <v>0</v>
      </c>
      <c r="R110">
        <f t="array" ref="R110">IFERROR(CONCATENATE(TEXT(INDEX($Q$7:$Q$78,SMALL(IF($T$7:$T$78&lt;&gt;"",IF($Q$7:$Q$78&lt;&gt;"",ROW($Q$7:$Q$78)-MIN(ROW($Q$7:$Q$78))+1,""),""),ROW()-ROW(A$80)+1)),"##0")," "),"")</f>
        <v>0</v>
      </c>
      <c r="S110">
        <f t="array" ref="S110">IFERROR(CONCATENATE((INDEX($A$7:$A$78,SMALL(IF($T$7:$T$78&lt;&gt;"",IF($Q$7:$Q$78&lt;&gt;"",ROW($Q$7:$Q$78)-MIN(ROW($Q$7:$Q$78))+1,""),""),ROW()-ROW(A$80)+1))),),"")</f>
        <v>0</v>
      </c>
      <c r="W110">
        <f t="array" ref="W110">IFERROR(CONCATENATE((INDEX($Z$7:$Z$78,SMALL(IF($Z$7:$Z$78&lt;&gt;"",IF($W$7:$W$78&lt;&gt;"",ROW($W$7:$W$78)-MIN(ROW($W$7:$W$78))+1,""),""),ROW()-ROW(A$80)+1))),","),"")</f>
        <v>0</v>
      </c>
      <c r="X110">
        <f t="array" ref="X110">IFERROR(CONCATENATE(TEXT(INDEX($W$7:$W$78,SMALL(IF($Z$7:$Z$78&lt;&gt;"",IF($W$7:$W$78&lt;&gt;"",ROW($W$7:$W$78)-MIN(ROW($W$7:$W$78))+1,""),""),ROW()-ROW(A$80)+1)),"##0"),","),"")</f>
        <v>0</v>
      </c>
      <c r="Y110">
        <f t="array" ref="Y110">IFERROR(CONCATENATE((INDEX($A$7:$A$78,SMALL(IF($Z$7:$Z$78&lt;&gt;"",IF($W$7:$W$78&lt;&gt;"",ROW($W$7:$W$78)-MIN(ROW($W$7:$W$78))+1,""),""),ROW()-ROW(A$80)+1))),),"")</f>
        <v>0</v>
      </c>
    </row>
    <row r="111" spans="11:25">
      <c r="K111">
        <f t="array" ref="K111">IFERROR(CONCATENATE(TEXT(INDEX($K$7:$K$78,SMALL(IF($N$7:$N$78&lt;&gt;"",IF($K$7:$K$78&lt;&gt;"",ROW($K$7:$K$78)-MIN(ROW($K$7:$K$78))+1,""),""),ROW()-ROW(A$80)+1)),"##0"),","),"")</f>
        <v>0</v>
      </c>
      <c r="L111">
        <f t="array" ref="L111">IFERROR(CONCATENATE((INDEX($N$7:$N$78,SMALL(IF($N$7:$N$78&lt;&gt;"",IF($K$7:$K$78&lt;&gt;"",ROW($K$7:$K$78)-MIN(ROW($K$7:$K$78))+1,""),""),ROW()-ROW(A$80)+1))),","),"")</f>
        <v>0</v>
      </c>
      <c r="M111">
        <f t="array" ref="M111">IFERROR(CONCATENATE((INDEX($A$7:$A$78,SMALL(IF($N$7:$N$78&lt;&gt;"",IF($K$7:$K$78&lt;&gt;"",ROW($K$7:$K$78)-MIN(ROW($K$7:$K$78))+1,""),""),ROW()-ROW(A$80)+1))),),"")</f>
        <v>0</v>
      </c>
      <c r="Q111">
        <f t="array" ref="Q111">IFERROR(CONCATENATE((INDEX($T$7:$T$78,SMALL(IF($T$7:$T$78&lt;&gt;"",IF($Q$7:$Q$78&lt;&gt;"",ROW($Q$7:$Q$78)-MIN(ROW($Q$7:$Q$78))+1,""),""),ROW()-ROW(A$80)+1)))," "),"")</f>
        <v>0</v>
      </c>
      <c r="R111">
        <f t="array" ref="R111">IFERROR(CONCATENATE(TEXT(INDEX($Q$7:$Q$78,SMALL(IF($T$7:$T$78&lt;&gt;"",IF($Q$7:$Q$78&lt;&gt;"",ROW($Q$7:$Q$78)-MIN(ROW($Q$7:$Q$78))+1,""),""),ROW()-ROW(A$80)+1)),"##0")," "),"")</f>
        <v>0</v>
      </c>
      <c r="S111">
        <f t="array" ref="S111">IFERROR(CONCATENATE((INDEX($A$7:$A$78,SMALL(IF($T$7:$T$78&lt;&gt;"",IF($Q$7:$Q$78&lt;&gt;"",ROW($Q$7:$Q$78)-MIN(ROW($Q$7:$Q$78))+1,""),""),ROW()-ROW(A$80)+1))),),"")</f>
        <v>0</v>
      </c>
      <c r="W111">
        <f t="array" ref="W111">IFERROR(CONCATENATE((INDEX($Z$7:$Z$78,SMALL(IF($Z$7:$Z$78&lt;&gt;"",IF($W$7:$W$78&lt;&gt;"",ROW($W$7:$W$78)-MIN(ROW($W$7:$W$78))+1,""),""),ROW()-ROW(A$80)+1))),","),"")</f>
        <v>0</v>
      </c>
      <c r="X111">
        <f t="array" ref="X111">IFERROR(CONCATENATE(TEXT(INDEX($W$7:$W$78,SMALL(IF($Z$7:$Z$78&lt;&gt;"",IF($W$7:$W$78&lt;&gt;"",ROW($W$7:$W$78)-MIN(ROW($W$7:$W$78))+1,""),""),ROW()-ROW(A$80)+1)),"##0"),","),"")</f>
        <v>0</v>
      </c>
      <c r="Y111">
        <f t="array" ref="Y111">IFERROR(CONCATENATE((INDEX($A$7:$A$78,SMALL(IF($Z$7:$Z$78&lt;&gt;"",IF($W$7:$W$78&lt;&gt;"",ROW($W$7:$W$78)-MIN(ROW($W$7:$W$78))+1,""),""),ROW()-ROW(A$80)+1))),),"")</f>
        <v>0</v>
      </c>
    </row>
    <row r="112" spans="11:25">
      <c r="K112">
        <f t="array" ref="K112">IFERROR(CONCATENATE(TEXT(INDEX($K$7:$K$78,SMALL(IF($N$7:$N$78&lt;&gt;"",IF($K$7:$K$78&lt;&gt;"",ROW($K$7:$K$78)-MIN(ROW($K$7:$K$78))+1,""),""),ROW()-ROW(A$80)+1)),"##0"),","),"")</f>
        <v>0</v>
      </c>
      <c r="L112">
        <f t="array" ref="L112">IFERROR(CONCATENATE((INDEX($N$7:$N$78,SMALL(IF($N$7:$N$78&lt;&gt;"",IF($K$7:$K$78&lt;&gt;"",ROW($K$7:$K$78)-MIN(ROW($K$7:$K$78))+1,""),""),ROW()-ROW(A$80)+1))),","),"")</f>
        <v>0</v>
      </c>
      <c r="M112">
        <f t="array" ref="M112">IFERROR(CONCATENATE((INDEX($A$7:$A$78,SMALL(IF($N$7:$N$78&lt;&gt;"",IF($K$7:$K$78&lt;&gt;"",ROW($K$7:$K$78)-MIN(ROW($K$7:$K$78))+1,""),""),ROW()-ROW(A$80)+1))),),"")</f>
        <v>0</v>
      </c>
      <c r="Q112">
        <f t="array" ref="Q112">IFERROR(CONCATENATE((INDEX($T$7:$T$78,SMALL(IF($T$7:$T$78&lt;&gt;"",IF($Q$7:$Q$78&lt;&gt;"",ROW($Q$7:$Q$78)-MIN(ROW($Q$7:$Q$78))+1,""),""),ROW()-ROW(A$80)+1)))," "),"")</f>
        <v>0</v>
      </c>
      <c r="R112">
        <f t="array" ref="R112">IFERROR(CONCATENATE(TEXT(INDEX($Q$7:$Q$78,SMALL(IF($T$7:$T$78&lt;&gt;"",IF($Q$7:$Q$78&lt;&gt;"",ROW($Q$7:$Q$78)-MIN(ROW($Q$7:$Q$78))+1,""),""),ROW()-ROW(A$80)+1)),"##0")," "),"")</f>
        <v>0</v>
      </c>
      <c r="S112">
        <f t="array" ref="S112">IFERROR(CONCATENATE((INDEX($A$7:$A$78,SMALL(IF($T$7:$T$78&lt;&gt;"",IF($Q$7:$Q$78&lt;&gt;"",ROW($Q$7:$Q$78)-MIN(ROW($Q$7:$Q$78))+1,""),""),ROW()-ROW(A$80)+1))),),"")</f>
        <v>0</v>
      </c>
      <c r="W112">
        <f t="array" ref="W112">IFERROR(CONCATENATE((INDEX($Z$7:$Z$78,SMALL(IF($Z$7:$Z$78&lt;&gt;"",IF($W$7:$W$78&lt;&gt;"",ROW($W$7:$W$78)-MIN(ROW($W$7:$W$78))+1,""),""),ROW()-ROW(A$80)+1))),","),"")</f>
        <v>0</v>
      </c>
      <c r="X112">
        <f t="array" ref="X112">IFERROR(CONCATENATE(TEXT(INDEX($W$7:$W$78,SMALL(IF($Z$7:$Z$78&lt;&gt;"",IF($W$7:$W$78&lt;&gt;"",ROW($W$7:$W$78)-MIN(ROW($W$7:$W$78))+1,""),""),ROW()-ROW(A$80)+1)),"##0"),","),"")</f>
        <v>0</v>
      </c>
      <c r="Y112">
        <f t="array" ref="Y112">IFERROR(CONCATENATE((INDEX($A$7:$A$78,SMALL(IF($Z$7:$Z$78&lt;&gt;"",IF($W$7:$W$78&lt;&gt;"",ROW($W$7:$W$78)-MIN(ROW($W$7:$W$78))+1,""),""),ROW()-ROW(A$80)+1))),),"")</f>
        <v>0</v>
      </c>
    </row>
    <row r="113" spans="11:25">
      <c r="K113">
        <f t="array" ref="K113">IFERROR(CONCATENATE(TEXT(INDEX($K$7:$K$78,SMALL(IF($N$7:$N$78&lt;&gt;"",IF($K$7:$K$78&lt;&gt;"",ROW($K$7:$K$78)-MIN(ROW($K$7:$K$78))+1,""),""),ROW()-ROW(A$80)+1)),"##0"),","),"")</f>
        <v>0</v>
      </c>
      <c r="L113">
        <f t="array" ref="L113">IFERROR(CONCATENATE((INDEX($N$7:$N$78,SMALL(IF($N$7:$N$78&lt;&gt;"",IF($K$7:$K$78&lt;&gt;"",ROW($K$7:$K$78)-MIN(ROW($K$7:$K$78))+1,""),""),ROW()-ROW(A$80)+1))),","),"")</f>
        <v>0</v>
      </c>
      <c r="M113">
        <f t="array" ref="M113">IFERROR(CONCATENATE((INDEX($A$7:$A$78,SMALL(IF($N$7:$N$78&lt;&gt;"",IF($K$7:$K$78&lt;&gt;"",ROW($K$7:$K$78)-MIN(ROW($K$7:$K$78))+1,""),""),ROW()-ROW(A$80)+1))),),"")</f>
        <v>0</v>
      </c>
      <c r="Q113">
        <f t="array" ref="Q113">IFERROR(CONCATENATE((INDEX($T$7:$T$78,SMALL(IF($T$7:$T$78&lt;&gt;"",IF($Q$7:$Q$78&lt;&gt;"",ROW($Q$7:$Q$78)-MIN(ROW($Q$7:$Q$78))+1,""),""),ROW()-ROW(A$80)+1)))," "),"")</f>
        <v>0</v>
      </c>
      <c r="R113">
        <f t="array" ref="R113">IFERROR(CONCATENATE(TEXT(INDEX($Q$7:$Q$78,SMALL(IF($T$7:$T$78&lt;&gt;"",IF($Q$7:$Q$78&lt;&gt;"",ROW($Q$7:$Q$78)-MIN(ROW($Q$7:$Q$78))+1,""),""),ROW()-ROW(A$80)+1)),"##0")," "),"")</f>
        <v>0</v>
      </c>
      <c r="S113">
        <f t="array" ref="S113">IFERROR(CONCATENATE((INDEX($A$7:$A$78,SMALL(IF($T$7:$T$78&lt;&gt;"",IF($Q$7:$Q$78&lt;&gt;"",ROW($Q$7:$Q$78)-MIN(ROW($Q$7:$Q$78))+1,""),""),ROW()-ROW(A$80)+1))),),"")</f>
        <v>0</v>
      </c>
      <c r="W113">
        <f t="array" ref="W113">IFERROR(CONCATENATE((INDEX($Z$7:$Z$78,SMALL(IF($Z$7:$Z$78&lt;&gt;"",IF($W$7:$W$78&lt;&gt;"",ROW($W$7:$W$78)-MIN(ROW($W$7:$W$78))+1,""),""),ROW()-ROW(A$80)+1))),","),"")</f>
        <v>0</v>
      </c>
      <c r="X113">
        <f t="array" ref="X113">IFERROR(CONCATENATE(TEXT(INDEX($W$7:$W$78,SMALL(IF($Z$7:$Z$78&lt;&gt;"",IF($W$7:$W$78&lt;&gt;"",ROW($W$7:$W$78)-MIN(ROW($W$7:$W$78))+1,""),""),ROW()-ROW(A$80)+1)),"##0"),","),"")</f>
        <v>0</v>
      </c>
      <c r="Y113">
        <f t="array" ref="Y113">IFERROR(CONCATENATE((INDEX($A$7:$A$78,SMALL(IF($Z$7:$Z$78&lt;&gt;"",IF($W$7:$W$78&lt;&gt;"",ROW($W$7:$W$78)-MIN(ROW($W$7:$W$78))+1,""),""),ROW()-ROW(A$80)+1))),),"")</f>
        <v>0</v>
      </c>
    </row>
    <row r="114" spans="11:25">
      <c r="K114">
        <f t="array" ref="K114">IFERROR(CONCATENATE(TEXT(INDEX($K$7:$K$78,SMALL(IF($N$7:$N$78&lt;&gt;"",IF($K$7:$K$78&lt;&gt;"",ROW($K$7:$K$78)-MIN(ROW($K$7:$K$78))+1,""),""),ROW()-ROW(A$80)+1)),"##0"),","),"")</f>
        <v>0</v>
      </c>
      <c r="L114">
        <f t="array" ref="L114">IFERROR(CONCATENATE((INDEX($N$7:$N$78,SMALL(IF($N$7:$N$78&lt;&gt;"",IF($K$7:$K$78&lt;&gt;"",ROW($K$7:$K$78)-MIN(ROW($K$7:$K$78))+1,""),""),ROW()-ROW(A$80)+1))),","),"")</f>
        <v>0</v>
      </c>
      <c r="M114">
        <f t="array" ref="M114">IFERROR(CONCATENATE((INDEX($A$7:$A$78,SMALL(IF($N$7:$N$78&lt;&gt;"",IF($K$7:$K$78&lt;&gt;"",ROW($K$7:$K$78)-MIN(ROW($K$7:$K$78))+1,""),""),ROW()-ROW(A$80)+1))),),"")</f>
        <v>0</v>
      </c>
      <c r="Q114">
        <f t="array" ref="Q114">IFERROR(CONCATENATE((INDEX($T$7:$T$78,SMALL(IF($T$7:$T$78&lt;&gt;"",IF($Q$7:$Q$78&lt;&gt;"",ROW($Q$7:$Q$78)-MIN(ROW($Q$7:$Q$78))+1,""),""),ROW()-ROW(A$80)+1)))," "),"")</f>
        <v>0</v>
      </c>
      <c r="R114">
        <f t="array" ref="R114">IFERROR(CONCATENATE(TEXT(INDEX($Q$7:$Q$78,SMALL(IF($T$7:$T$78&lt;&gt;"",IF($Q$7:$Q$78&lt;&gt;"",ROW($Q$7:$Q$78)-MIN(ROW($Q$7:$Q$78))+1,""),""),ROW()-ROW(A$80)+1)),"##0")," "),"")</f>
        <v>0</v>
      </c>
      <c r="S114">
        <f t="array" ref="S114">IFERROR(CONCATENATE((INDEX($A$7:$A$78,SMALL(IF($T$7:$T$78&lt;&gt;"",IF($Q$7:$Q$78&lt;&gt;"",ROW($Q$7:$Q$78)-MIN(ROW($Q$7:$Q$78))+1,""),""),ROW()-ROW(A$80)+1))),),"")</f>
        <v>0</v>
      </c>
      <c r="W114">
        <f t="array" ref="W114">IFERROR(CONCATENATE((INDEX($Z$7:$Z$78,SMALL(IF($Z$7:$Z$78&lt;&gt;"",IF($W$7:$W$78&lt;&gt;"",ROW($W$7:$W$78)-MIN(ROW($W$7:$W$78))+1,""),""),ROW()-ROW(A$80)+1))),","),"")</f>
        <v>0</v>
      </c>
      <c r="X114">
        <f t="array" ref="X114">IFERROR(CONCATENATE(TEXT(INDEX($W$7:$W$78,SMALL(IF($Z$7:$Z$78&lt;&gt;"",IF($W$7:$W$78&lt;&gt;"",ROW($W$7:$W$78)-MIN(ROW($W$7:$W$78))+1,""),""),ROW()-ROW(A$80)+1)),"##0"),","),"")</f>
        <v>0</v>
      </c>
      <c r="Y114">
        <f t="array" ref="Y114">IFERROR(CONCATENATE((INDEX($A$7:$A$78,SMALL(IF($Z$7:$Z$78&lt;&gt;"",IF($W$7:$W$78&lt;&gt;"",ROW($W$7:$W$78)-MIN(ROW($W$7:$W$78))+1,""),""),ROW()-ROW(A$80)+1))),),"")</f>
        <v>0</v>
      </c>
    </row>
    <row r="115" spans="11:25">
      <c r="K115">
        <f t="array" ref="K115">IFERROR(CONCATENATE(TEXT(INDEX($K$7:$K$78,SMALL(IF($N$7:$N$78&lt;&gt;"",IF($K$7:$K$78&lt;&gt;"",ROW($K$7:$K$78)-MIN(ROW($K$7:$K$78))+1,""),""),ROW()-ROW(A$80)+1)),"##0"),","),"")</f>
        <v>0</v>
      </c>
      <c r="L115">
        <f t="array" ref="L115">IFERROR(CONCATENATE((INDEX($N$7:$N$78,SMALL(IF($N$7:$N$78&lt;&gt;"",IF($K$7:$K$78&lt;&gt;"",ROW($K$7:$K$78)-MIN(ROW($K$7:$K$78))+1,""),""),ROW()-ROW(A$80)+1))),","),"")</f>
        <v>0</v>
      </c>
      <c r="M115">
        <f t="array" ref="M115">IFERROR(CONCATENATE((INDEX($A$7:$A$78,SMALL(IF($N$7:$N$78&lt;&gt;"",IF($K$7:$K$78&lt;&gt;"",ROW($K$7:$K$78)-MIN(ROW($K$7:$K$78))+1,""),""),ROW()-ROW(A$80)+1))),),"")</f>
        <v>0</v>
      </c>
      <c r="Q115">
        <f t="array" ref="Q115">IFERROR(CONCATENATE((INDEX($T$7:$T$78,SMALL(IF($T$7:$T$78&lt;&gt;"",IF($Q$7:$Q$78&lt;&gt;"",ROW($Q$7:$Q$78)-MIN(ROW($Q$7:$Q$78))+1,""),""),ROW()-ROW(A$80)+1)))," "),"")</f>
        <v>0</v>
      </c>
      <c r="R115">
        <f t="array" ref="R115">IFERROR(CONCATENATE(TEXT(INDEX($Q$7:$Q$78,SMALL(IF($T$7:$T$78&lt;&gt;"",IF($Q$7:$Q$78&lt;&gt;"",ROW($Q$7:$Q$78)-MIN(ROW($Q$7:$Q$78))+1,""),""),ROW()-ROW(A$80)+1)),"##0")," "),"")</f>
        <v>0</v>
      </c>
      <c r="S115">
        <f t="array" ref="S115">IFERROR(CONCATENATE((INDEX($A$7:$A$78,SMALL(IF($T$7:$T$78&lt;&gt;"",IF($Q$7:$Q$78&lt;&gt;"",ROW($Q$7:$Q$78)-MIN(ROW($Q$7:$Q$78))+1,""),""),ROW()-ROW(A$80)+1))),),"")</f>
        <v>0</v>
      </c>
      <c r="W115">
        <f t="array" ref="W115">IFERROR(CONCATENATE((INDEX($Z$7:$Z$78,SMALL(IF($Z$7:$Z$78&lt;&gt;"",IF($W$7:$W$78&lt;&gt;"",ROW($W$7:$W$78)-MIN(ROW($W$7:$W$78))+1,""),""),ROW()-ROW(A$80)+1))),","),"")</f>
        <v>0</v>
      </c>
      <c r="X115">
        <f t="array" ref="X115">IFERROR(CONCATENATE(TEXT(INDEX($W$7:$W$78,SMALL(IF($Z$7:$Z$78&lt;&gt;"",IF($W$7:$W$78&lt;&gt;"",ROW($W$7:$W$78)-MIN(ROW($W$7:$W$78))+1,""),""),ROW()-ROW(A$80)+1)),"##0"),","),"")</f>
        <v>0</v>
      </c>
      <c r="Y115">
        <f t="array" ref="Y115">IFERROR(CONCATENATE((INDEX($A$7:$A$78,SMALL(IF($Z$7:$Z$78&lt;&gt;"",IF($W$7:$W$78&lt;&gt;"",ROW($W$7:$W$78)-MIN(ROW($W$7:$W$78))+1,""),""),ROW()-ROW(A$80)+1))),),"")</f>
        <v>0</v>
      </c>
    </row>
    <row r="116" spans="11:25">
      <c r="K116">
        <f t="array" ref="K116">IFERROR(CONCATENATE(TEXT(INDEX($K$7:$K$78,SMALL(IF($N$7:$N$78&lt;&gt;"",IF($K$7:$K$78&lt;&gt;"",ROW($K$7:$K$78)-MIN(ROW($K$7:$K$78))+1,""),""),ROW()-ROW(A$80)+1)),"##0"),","),"")</f>
        <v>0</v>
      </c>
      <c r="L116">
        <f t="array" ref="L116">IFERROR(CONCATENATE((INDEX($N$7:$N$78,SMALL(IF($N$7:$N$78&lt;&gt;"",IF($K$7:$K$78&lt;&gt;"",ROW($K$7:$K$78)-MIN(ROW($K$7:$K$78))+1,""),""),ROW()-ROW(A$80)+1))),","),"")</f>
        <v>0</v>
      </c>
      <c r="M116">
        <f t="array" ref="M116">IFERROR(CONCATENATE((INDEX($A$7:$A$78,SMALL(IF($N$7:$N$78&lt;&gt;"",IF($K$7:$K$78&lt;&gt;"",ROW($K$7:$K$78)-MIN(ROW($K$7:$K$78))+1,""),""),ROW()-ROW(A$80)+1))),),"")</f>
        <v>0</v>
      </c>
      <c r="Q116">
        <f t="array" ref="Q116">IFERROR(CONCATENATE((INDEX($T$7:$T$78,SMALL(IF($T$7:$T$78&lt;&gt;"",IF($Q$7:$Q$78&lt;&gt;"",ROW($Q$7:$Q$78)-MIN(ROW($Q$7:$Q$78))+1,""),""),ROW()-ROW(A$80)+1)))," "),"")</f>
        <v>0</v>
      </c>
      <c r="R116">
        <f t="array" ref="R116">IFERROR(CONCATENATE(TEXT(INDEX($Q$7:$Q$78,SMALL(IF($T$7:$T$78&lt;&gt;"",IF($Q$7:$Q$78&lt;&gt;"",ROW($Q$7:$Q$78)-MIN(ROW($Q$7:$Q$78))+1,""),""),ROW()-ROW(A$80)+1)),"##0")," "),"")</f>
        <v>0</v>
      </c>
      <c r="S116">
        <f t="array" ref="S116">IFERROR(CONCATENATE((INDEX($A$7:$A$78,SMALL(IF($T$7:$T$78&lt;&gt;"",IF($Q$7:$Q$78&lt;&gt;"",ROW($Q$7:$Q$78)-MIN(ROW($Q$7:$Q$78))+1,""),""),ROW()-ROW(A$80)+1))),),"")</f>
        <v>0</v>
      </c>
      <c r="W116">
        <f t="array" ref="W116">IFERROR(CONCATENATE((INDEX($Z$7:$Z$78,SMALL(IF($Z$7:$Z$78&lt;&gt;"",IF($W$7:$W$78&lt;&gt;"",ROW($W$7:$W$78)-MIN(ROW($W$7:$W$78))+1,""),""),ROW()-ROW(A$80)+1))),","),"")</f>
        <v>0</v>
      </c>
      <c r="X116">
        <f t="array" ref="X116">IFERROR(CONCATENATE(TEXT(INDEX($W$7:$W$78,SMALL(IF($Z$7:$Z$78&lt;&gt;"",IF($W$7:$W$78&lt;&gt;"",ROW($W$7:$W$78)-MIN(ROW($W$7:$W$78))+1,""),""),ROW()-ROW(A$80)+1)),"##0"),","),"")</f>
        <v>0</v>
      </c>
      <c r="Y116">
        <f t="array" ref="Y116">IFERROR(CONCATENATE((INDEX($A$7:$A$78,SMALL(IF($Z$7:$Z$78&lt;&gt;"",IF($W$7:$W$78&lt;&gt;"",ROW($W$7:$W$78)-MIN(ROW($W$7:$W$78))+1,""),""),ROW()-ROW(A$80)+1))),),"")</f>
        <v>0</v>
      </c>
    </row>
    <row r="117" spans="11:25">
      <c r="K117">
        <f t="array" ref="K117">IFERROR(CONCATENATE(TEXT(INDEX($K$7:$K$78,SMALL(IF($N$7:$N$78&lt;&gt;"",IF($K$7:$K$78&lt;&gt;"",ROW($K$7:$K$78)-MIN(ROW($K$7:$K$78))+1,""),""),ROW()-ROW(A$80)+1)),"##0"),","),"")</f>
        <v>0</v>
      </c>
      <c r="L117">
        <f t="array" ref="L117">IFERROR(CONCATENATE((INDEX($N$7:$N$78,SMALL(IF($N$7:$N$78&lt;&gt;"",IF($K$7:$K$78&lt;&gt;"",ROW($K$7:$K$78)-MIN(ROW($K$7:$K$78))+1,""),""),ROW()-ROW(A$80)+1))),","),"")</f>
        <v>0</v>
      </c>
      <c r="M117">
        <f t="array" ref="M117">IFERROR(CONCATENATE((INDEX($A$7:$A$78,SMALL(IF($N$7:$N$78&lt;&gt;"",IF($K$7:$K$78&lt;&gt;"",ROW($K$7:$K$78)-MIN(ROW($K$7:$K$78))+1,""),""),ROW()-ROW(A$80)+1))),),"")</f>
        <v>0</v>
      </c>
      <c r="Q117">
        <f t="array" ref="Q117">IFERROR(CONCATENATE((INDEX($T$7:$T$78,SMALL(IF($T$7:$T$78&lt;&gt;"",IF($Q$7:$Q$78&lt;&gt;"",ROW($Q$7:$Q$78)-MIN(ROW($Q$7:$Q$78))+1,""),""),ROW()-ROW(A$80)+1)))," "),"")</f>
        <v>0</v>
      </c>
      <c r="R117">
        <f t="array" ref="R117">IFERROR(CONCATENATE(TEXT(INDEX($Q$7:$Q$78,SMALL(IF($T$7:$T$78&lt;&gt;"",IF($Q$7:$Q$78&lt;&gt;"",ROW($Q$7:$Q$78)-MIN(ROW($Q$7:$Q$78))+1,""),""),ROW()-ROW(A$80)+1)),"##0")," "),"")</f>
        <v>0</v>
      </c>
      <c r="S117">
        <f t="array" ref="S117">IFERROR(CONCATENATE((INDEX($A$7:$A$78,SMALL(IF($T$7:$T$78&lt;&gt;"",IF($Q$7:$Q$78&lt;&gt;"",ROW($Q$7:$Q$78)-MIN(ROW($Q$7:$Q$78))+1,""),""),ROW()-ROW(A$80)+1))),),"")</f>
        <v>0</v>
      </c>
      <c r="W117">
        <f t="array" ref="W117">IFERROR(CONCATENATE((INDEX($Z$7:$Z$78,SMALL(IF($Z$7:$Z$78&lt;&gt;"",IF($W$7:$W$78&lt;&gt;"",ROW($W$7:$W$78)-MIN(ROW($W$7:$W$78))+1,""),""),ROW()-ROW(A$80)+1))),","),"")</f>
        <v>0</v>
      </c>
      <c r="X117">
        <f t="array" ref="X117">IFERROR(CONCATENATE(TEXT(INDEX($W$7:$W$78,SMALL(IF($Z$7:$Z$78&lt;&gt;"",IF($W$7:$W$78&lt;&gt;"",ROW($W$7:$W$78)-MIN(ROW($W$7:$W$78))+1,""),""),ROW()-ROW(A$80)+1)),"##0"),","),"")</f>
        <v>0</v>
      </c>
      <c r="Y117">
        <f t="array" ref="Y117">IFERROR(CONCATENATE((INDEX($A$7:$A$78,SMALL(IF($Z$7:$Z$78&lt;&gt;"",IF($W$7:$W$78&lt;&gt;"",ROW($W$7:$W$78)-MIN(ROW($W$7:$W$78))+1,""),""),ROW()-ROW(A$80)+1))),),"")</f>
        <v>0</v>
      </c>
    </row>
    <row r="118" spans="11:25">
      <c r="K118">
        <f t="array" ref="K118">IFERROR(CONCATENATE(TEXT(INDEX($K$7:$K$78,SMALL(IF($N$7:$N$78&lt;&gt;"",IF($K$7:$K$78&lt;&gt;"",ROW($K$7:$K$78)-MIN(ROW($K$7:$K$78))+1,""),""),ROW()-ROW(A$80)+1)),"##0"),","),"")</f>
        <v>0</v>
      </c>
      <c r="L118">
        <f t="array" ref="L118">IFERROR(CONCATENATE((INDEX($N$7:$N$78,SMALL(IF($N$7:$N$78&lt;&gt;"",IF($K$7:$K$78&lt;&gt;"",ROW($K$7:$K$78)-MIN(ROW($K$7:$K$78))+1,""),""),ROW()-ROW(A$80)+1))),","),"")</f>
        <v>0</v>
      </c>
      <c r="M118">
        <f t="array" ref="M118">IFERROR(CONCATENATE((INDEX($A$7:$A$78,SMALL(IF($N$7:$N$78&lt;&gt;"",IF($K$7:$K$78&lt;&gt;"",ROW($K$7:$K$78)-MIN(ROW($K$7:$K$78))+1,""),""),ROW()-ROW(A$80)+1))),),"")</f>
        <v>0</v>
      </c>
      <c r="Q118">
        <f t="array" ref="Q118">IFERROR(CONCATENATE((INDEX($T$7:$T$78,SMALL(IF($T$7:$T$78&lt;&gt;"",IF($Q$7:$Q$78&lt;&gt;"",ROW($Q$7:$Q$78)-MIN(ROW($Q$7:$Q$78))+1,""),""),ROW()-ROW(A$80)+1)))," "),"")</f>
        <v>0</v>
      </c>
      <c r="R118">
        <f t="array" ref="R118">IFERROR(CONCATENATE(TEXT(INDEX($Q$7:$Q$78,SMALL(IF($T$7:$T$78&lt;&gt;"",IF($Q$7:$Q$78&lt;&gt;"",ROW($Q$7:$Q$78)-MIN(ROW($Q$7:$Q$78))+1,""),""),ROW()-ROW(A$80)+1)),"##0")," "),"")</f>
        <v>0</v>
      </c>
      <c r="S118">
        <f t="array" ref="S118">IFERROR(CONCATENATE((INDEX($A$7:$A$78,SMALL(IF($T$7:$T$78&lt;&gt;"",IF($Q$7:$Q$78&lt;&gt;"",ROW($Q$7:$Q$78)-MIN(ROW($Q$7:$Q$78))+1,""),""),ROW()-ROW(A$80)+1))),),"")</f>
        <v>0</v>
      </c>
      <c r="W118">
        <f t="array" ref="W118">IFERROR(CONCATENATE((INDEX($Z$7:$Z$78,SMALL(IF($Z$7:$Z$78&lt;&gt;"",IF($W$7:$W$78&lt;&gt;"",ROW($W$7:$W$78)-MIN(ROW($W$7:$W$78))+1,""),""),ROW()-ROW(A$80)+1))),","),"")</f>
        <v>0</v>
      </c>
      <c r="X118">
        <f t="array" ref="X118">IFERROR(CONCATENATE(TEXT(INDEX($W$7:$W$78,SMALL(IF($Z$7:$Z$78&lt;&gt;"",IF($W$7:$W$78&lt;&gt;"",ROW($W$7:$W$78)-MIN(ROW($W$7:$W$78))+1,""),""),ROW()-ROW(A$80)+1)),"##0"),","),"")</f>
        <v>0</v>
      </c>
      <c r="Y118">
        <f t="array" ref="Y118">IFERROR(CONCATENATE((INDEX($A$7:$A$78,SMALL(IF($Z$7:$Z$78&lt;&gt;"",IF($W$7:$W$78&lt;&gt;"",ROW($W$7:$W$78)-MIN(ROW($W$7:$W$78))+1,""),""),ROW()-ROW(A$80)+1))),),"")</f>
        <v>0</v>
      </c>
    </row>
    <row r="119" spans="11:25">
      <c r="K119">
        <f t="array" ref="K119">IFERROR(CONCATENATE(TEXT(INDEX($K$7:$K$78,SMALL(IF($N$7:$N$78&lt;&gt;"",IF($K$7:$K$78&lt;&gt;"",ROW($K$7:$K$78)-MIN(ROW($K$7:$K$78))+1,""),""),ROW()-ROW(A$80)+1)),"##0"),","),"")</f>
        <v>0</v>
      </c>
      <c r="L119">
        <f t="array" ref="L119">IFERROR(CONCATENATE((INDEX($N$7:$N$78,SMALL(IF($N$7:$N$78&lt;&gt;"",IF($K$7:$K$78&lt;&gt;"",ROW($K$7:$K$78)-MIN(ROW($K$7:$K$78))+1,""),""),ROW()-ROW(A$80)+1))),","),"")</f>
        <v>0</v>
      </c>
      <c r="M119">
        <f t="array" ref="M119">IFERROR(CONCATENATE((INDEX($A$7:$A$78,SMALL(IF($N$7:$N$78&lt;&gt;"",IF($K$7:$K$78&lt;&gt;"",ROW($K$7:$K$78)-MIN(ROW($K$7:$K$78))+1,""),""),ROW()-ROW(A$80)+1))),),"")</f>
        <v>0</v>
      </c>
      <c r="Q119">
        <f t="array" ref="Q119">IFERROR(CONCATENATE((INDEX($T$7:$T$78,SMALL(IF($T$7:$T$78&lt;&gt;"",IF($Q$7:$Q$78&lt;&gt;"",ROW($Q$7:$Q$78)-MIN(ROW($Q$7:$Q$78))+1,""),""),ROW()-ROW(A$80)+1)))," "),"")</f>
        <v>0</v>
      </c>
      <c r="R119">
        <f t="array" ref="R119">IFERROR(CONCATENATE(TEXT(INDEX($Q$7:$Q$78,SMALL(IF($T$7:$T$78&lt;&gt;"",IF($Q$7:$Q$78&lt;&gt;"",ROW($Q$7:$Q$78)-MIN(ROW($Q$7:$Q$78))+1,""),""),ROW()-ROW(A$80)+1)),"##0")," "),"")</f>
        <v>0</v>
      </c>
      <c r="S119">
        <f t="array" ref="S119">IFERROR(CONCATENATE((INDEX($A$7:$A$78,SMALL(IF($T$7:$T$78&lt;&gt;"",IF($Q$7:$Q$78&lt;&gt;"",ROW($Q$7:$Q$78)-MIN(ROW($Q$7:$Q$78))+1,""),""),ROW()-ROW(A$80)+1))),),"")</f>
        <v>0</v>
      </c>
      <c r="W119">
        <f t="array" ref="W119">IFERROR(CONCATENATE((INDEX($Z$7:$Z$78,SMALL(IF($Z$7:$Z$78&lt;&gt;"",IF($W$7:$W$78&lt;&gt;"",ROW($W$7:$W$78)-MIN(ROW($W$7:$W$78))+1,""),""),ROW()-ROW(A$80)+1))),","),"")</f>
        <v>0</v>
      </c>
      <c r="X119">
        <f t="array" ref="X119">IFERROR(CONCATENATE(TEXT(INDEX($W$7:$W$78,SMALL(IF($Z$7:$Z$78&lt;&gt;"",IF($W$7:$W$78&lt;&gt;"",ROW($W$7:$W$78)-MIN(ROW($W$7:$W$78))+1,""),""),ROW()-ROW(A$80)+1)),"##0"),","),"")</f>
        <v>0</v>
      </c>
      <c r="Y119">
        <f t="array" ref="Y119">IFERROR(CONCATENATE((INDEX($A$7:$A$78,SMALL(IF($Z$7:$Z$78&lt;&gt;"",IF($W$7:$W$78&lt;&gt;"",ROW($W$7:$W$78)-MIN(ROW($W$7:$W$78))+1,""),""),ROW()-ROW(A$80)+1))),),"")</f>
        <v>0</v>
      </c>
    </row>
    <row r="120" spans="11:25">
      <c r="K120">
        <f t="array" ref="K120">IFERROR(CONCATENATE(TEXT(INDEX($K$7:$K$78,SMALL(IF($N$7:$N$78&lt;&gt;"",IF($K$7:$K$78&lt;&gt;"",ROW($K$7:$K$78)-MIN(ROW($K$7:$K$78))+1,""),""),ROW()-ROW(A$80)+1)),"##0"),","),"")</f>
        <v>0</v>
      </c>
      <c r="L120">
        <f t="array" ref="L120">IFERROR(CONCATENATE((INDEX($N$7:$N$78,SMALL(IF($N$7:$N$78&lt;&gt;"",IF($K$7:$K$78&lt;&gt;"",ROW($K$7:$K$78)-MIN(ROW($K$7:$K$78))+1,""),""),ROW()-ROW(A$80)+1))),","),"")</f>
        <v>0</v>
      </c>
      <c r="M120">
        <f t="array" ref="M120">IFERROR(CONCATENATE((INDEX($A$7:$A$78,SMALL(IF($N$7:$N$78&lt;&gt;"",IF($K$7:$K$78&lt;&gt;"",ROW($K$7:$K$78)-MIN(ROW($K$7:$K$78))+1,""),""),ROW()-ROW(A$80)+1))),),"")</f>
        <v>0</v>
      </c>
      <c r="Q120">
        <f t="array" ref="Q120">IFERROR(CONCATENATE((INDEX($T$7:$T$78,SMALL(IF($T$7:$T$78&lt;&gt;"",IF($Q$7:$Q$78&lt;&gt;"",ROW($Q$7:$Q$78)-MIN(ROW($Q$7:$Q$78))+1,""),""),ROW()-ROW(A$80)+1)))," "),"")</f>
        <v>0</v>
      </c>
      <c r="R120">
        <f t="array" ref="R120">IFERROR(CONCATENATE(TEXT(INDEX($Q$7:$Q$78,SMALL(IF($T$7:$T$78&lt;&gt;"",IF($Q$7:$Q$78&lt;&gt;"",ROW($Q$7:$Q$78)-MIN(ROW($Q$7:$Q$78))+1,""),""),ROW()-ROW(A$80)+1)),"##0")," "),"")</f>
        <v>0</v>
      </c>
      <c r="S120">
        <f t="array" ref="S120">IFERROR(CONCATENATE((INDEX($A$7:$A$78,SMALL(IF($T$7:$T$78&lt;&gt;"",IF($Q$7:$Q$78&lt;&gt;"",ROW($Q$7:$Q$78)-MIN(ROW($Q$7:$Q$78))+1,""),""),ROW()-ROW(A$80)+1))),),"")</f>
        <v>0</v>
      </c>
      <c r="W120">
        <f t="array" ref="W120">IFERROR(CONCATENATE((INDEX($Z$7:$Z$78,SMALL(IF($Z$7:$Z$78&lt;&gt;"",IF($W$7:$W$78&lt;&gt;"",ROW($W$7:$W$78)-MIN(ROW($W$7:$W$78))+1,""),""),ROW()-ROW(A$80)+1))),","),"")</f>
        <v>0</v>
      </c>
      <c r="X120">
        <f t="array" ref="X120">IFERROR(CONCATENATE(TEXT(INDEX($W$7:$W$78,SMALL(IF($Z$7:$Z$78&lt;&gt;"",IF($W$7:$W$78&lt;&gt;"",ROW($W$7:$W$78)-MIN(ROW($W$7:$W$78))+1,""),""),ROW()-ROW(A$80)+1)),"##0"),","),"")</f>
        <v>0</v>
      </c>
      <c r="Y120">
        <f t="array" ref="Y120">IFERROR(CONCATENATE((INDEX($A$7:$A$78,SMALL(IF($Z$7:$Z$78&lt;&gt;"",IF($W$7:$W$78&lt;&gt;"",ROW($W$7:$W$78)-MIN(ROW($W$7:$W$78))+1,""),""),ROW()-ROW(A$80)+1))),),"")</f>
        <v>0</v>
      </c>
    </row>
    <row r="121" spans="11:25">
      <c r="K121">
        <f t="array" ref="K121">IFERROR(CONCATENATE(TEXT(INDEX($K$7:$K$78,SMALL(IF($N$7:$N$78&lt;&gt;"",IF($K$7:$K$78&lt;&gt;"",ROW($K$7:$K$78)-MIN(ROW($K$7:$K$78))+1,""),""),ROW()-ROW(A$80)+1)),"##0"),","),"")</f>
        <v>0</v>
      </c>
      <c r="L121">
        <f t="array" ref="L121">IFERROR(CONCATENATE((INDEX($N$7:$N$78,SMALL(IF($N$7:$N$78&lt;&gt;"",IF($K$7:$K$78&lt;&gt;"",ROW($K$7:$K$78)-MIN(ROW($K$7:$K$78))+1,""),""),ROW()-ROW(A$80)+1))),","),"")</f>
        <v>0</v>
      </c>
      <c r="M121">
        <f t="array" ref="M121">IFERROR(CONCATENATE((INDEX($A$7:$A$78,SMALL(IF($N$7:$N$78&lt;&gt;"",IF($K$7:$K$78&lt;&gt;"",ROW($K$7:$K$78)-MIN(ROW($K$7:$K$78))+1,""),""),ROW()-ROW(A$80)+1))),),"")</f>
        <v>0</v>
      </c>
      <c r="Q121">
        <f t="array" ref="Q121">IFERROR(CONCATENATE((INDEX($T$7:$T$78,SMALL(IF($T$7:$T$78&lt;&gt;"",IF($Q$7:$Q$78&lt;&gt;"",ROW($Q$7:$Q$78)-MIN(ROW($Q$7:$Q$78))+1,""),""),ROW()-ROW(A$80)+1)))," "),"")</f>
        <v>0</v>
      </c>
      <c r="R121">
        <f t="array" ref="R121">IFERROR(CONCATENATE(TEXT(INDEX($Q$7:$Q$78,SMALL(IF($T$7:$T$78&lt;&gt;"",IF($Q$7:$Q$78&lt;&gt;"",ROW($Q$7:$Q$78)-MIN(ROW($Q$7:$Q$78))+1,""),""),ROW()-ROW(A$80)+1)),"##0")," "),"")</f>
        <v>0</v>
      </c>
      <c r="S121">
        <f t="array" ref="S121">IFERROR(CONCATENATE((INDEX($A$7:$A$78,SMALL(IF($T$7:$T$78&lt;&gt;"",IF($Q$7:$Q$78&lt;&gt;"",ROW($Q$7:$Q$78)-MIN(ROW($Q$7:$Q$78))+1,""),""),ROW()-ROW(A$80)+1))),),"")</f>
        <v>0</v>
      </c>
      <c r="W121">
        <f t="array" ref="W121">IFERROR(CONCATENATE((INDEX($Z$7:$Z$78,SMALL(IF($Z$7:$Z$78&lt;&gt;"",IF($W$7:$W$78&lt;&gt;"",ROW($W$7:$W$78)-MIN(ROW($W$7:$W$78))+1,""),""),ROW()-ROW(A$80)+1))),","),"")</f>
        <v>0</v>
      </c>
      <c r="X121">
        <f t="array" ref="X121">IFERROR(CONCATENATE(TEXT(INDEX($W$7:$W$78,SMALL(IF($Z$7:$Z$78&lt;&gt;"",IF($W$7:$W$78&lt;&gt;"",ROW($W$7:$W$78)-MIN(ROW($W$7:$W$78))+1,""),""),ROW()-ROW(A$80)+1)),"##0"),","),"")</f>
        <v>0</v>
      </c>
      <c r="Y121">
        <f t="array" ref="Y121">IFERROR(CONCATENATE((INDEX($A$7:$A$78,SMALL(IF($Z$7:$Z$78&lt;&gt;"",IF($W$7:$W$78&lt;&gt;"",ROW($W$7:$W$78)-MIN(ROW($W$7:$W$78))+1,""),""),ROW()-ROW(A$80)+1))),),"")</f>
        <v>0</v>
      </c>
    </row>
    <row r="122" spans="11:25">
      <c r="K122">
        <f t="array" ref="K122">IFERROR(CONCATENATE(TEXT(INDEX($K$7:$K$78,SMALL(IF($N$7:$N$78&lt;&gt;"",IF($K$7:$K$78&lt;&gt;"",ROW($K$7:$K$78)-MIN(ROW($K$7:$K$78))+1,""),""),ROW()-ROW(A$80)+1)),"##0"),","),"")</f>
        <v>0</v>
      </c>
      <c r="L122">
        <f t="array" ref="L122">IFERROR(CONCATENATE((INDEX($N$7:$N$78,SMALL(IF($N$7:$N$78&lt;&gt;"",IF($K$7:$K$78&lt;&gt;"",ROW($K$7:$K$78)-MIN(ROW($K$7:$K$78))+1,""),""),ROW()-ROW(A$80)+1))),","),"")</f>
        <v>0</v>
      </c>
      <c r="M122">
        <f t="array" ref="M122">IFERROR(CONCATENATE((INDEX($A$7:$A$78,SMALL(IF($N$7:$N$78&lt;&gt;"",IF($K$7:$K$78&lt;&gt;"",ROW($K$7:$K$78)-MIN(ROW($K$7:$K$78))+1,""),""),ROW()-ROW(A$80)+1))),),"")</f>
        <v>0</v>
      </c>
      <c r="Q122">
        <f t="array" ref="Q122">IFERROR(CONCATENATE((INDEX($T$7:$T$78,SMALL(IF($T$7:$T$78&lt;&gt;"",IF($Q$7:$Q$78&lt;&gt;"",ROW($Q$7:$Q$78)-MIN(ROW($Q$7:$Q$78))+1,""),""),ROW()-ROW(A$80)+1)))," "),"")</f>
        <v>0</v>
      </c>
      <c r="R122">
        <f t="array" ref="R122">IFERROR(CONCATENATE(TEXT(INDEX($Q$7:$Q$78,SMALL(IF($T$7:$T$78&lt;&gt;"",IF($Q$7:$Q$78&lt;&gt;"",ROW($Q$7:$Q$78)-MIN(ROW($Q$7:$Q$78))+1,""),""),ROW()-ROW(A$80)+1)),"##0")," "),"")</f>
        <v>0</v>
      </c>
      <c r="S122">
        <f t="array" ref="S122">IFERROR(CONCATENATE((INDEX($A$7:$A$78,SMALL(IF($T$7:$T$78&lt;&gt;"",IF($Q$7:$Q$78&lt;&gt;"",ROW($Q$7:$Q$78)-MIN(ROW($Q$7:$Q$78))+1,""),""),ROW()-ROW(A$80)+1))),),"")</f>
        <v>0</v>
      </c>
      <c r="W122">
        <f t="array" ref="W122">IFERROR(CONCATENATE((INDEX($Z$7:$Z$78,SMALL(IF($Z$7:$Z$78&lt;&gt;"",IF($W$7:$W$78&lt;&gt;"",ROW($W$7:$W$78)-MIN(ROW($W$7:$W$78))+1,""),""),ROW()-ROW(A$80)+1))),","),"")</f>
        <v>0</v>
      </c>
      <c r="X122">
        <f t="array" ref="X122">IFERROR(CONCATENATE(TEXT(INDEX($W$7:$W$78,SMALL(IF($Z$7:$Z$78&lt;&gt;"",IF($W$7:$W$78&lt;&gt;"",ROW($W$7:$W$78)-MIN(ROW($W$7:$W$78))+1,""),""),ROW()-ROW(A$80)+1)),"##0"),","),"")</f>
        <v>0</v>
      </c>
      <c r="Y122">
        <f t="array" ref="Y122">IFERROR(CONCATENATE((INDEX($A$7:$A$78,SMALL(IF($Z$7:$Z$78&lt;&gt;"",IF($W$7:$W$78&lt;&gt;"",ROW($W$7:$W$78)-MIN(ROW($W$7:$W$78))+1,""),""),ROW()-ROW(A$80)+1))),),"")</f>
        <v>0</v>
      </c>
    </row>
    <row r="123" spans="11:25">
      <c r="K123">
        <f t="array" ref="K123">IFERROR(CONCATENATE(TEXT(INDEX($K$7:$K$78,SMALL(IF($N$7:$N$78&lt;&gt;"",IF($K$7:$K$78&lt;&gt;"",ROW($K$7:$K$78)-MIN(ROW($K$7:$K$78))+1,""),""),ROW()-ROW(A$80)+1)),"##0"),","),"")</f>
        <v>0</v>
      </c>
      <c r="L123">
        <f t="array" ref="L123">IFERROR(CONCATENATE((INDEX($N$7:$N$78,SMALL(IF($N$7:$N$78&lt;&gt;"",IF($K$7:$K$78&lt;&gt;"",ROW($K$7:$K$78)-MIN(ROW($K$7:$K$78))+1,""),""),ROW()-ROW(A$80)+1))),","),"")</f>
        <v>0</v>
      </c>
      <c r="M123">
        <f t="array" ref="M123">IFERROR(CONCATENATE((INDEX($A$7:$A$78,SMALL(IF($N$7:$N$78&lt;&gt;"",IF($K$7:$K$78&lt;&gt;"",ROW($K$7:$K$78)-MIN(ROW($K$7:$K$78))+1,""),""),ROW()-ROW(A$80)+1))),),"")</f>
        <v>0</v>
      </c>
      <c r="Q123">
        <f t="array" ref="Q123">IFERROR(CONCATENATE((INDEX($T$7:$T$78,SMALL(IF($T$7:$T$78&lt;&gt;"",IF($Q$7:$Q$78&lt;&gt;"",ROW($Q$7:$Q$78)-MIN(ROW($Q$7:$Q$78))+1,""),""),ROW()-ROW(A$80)+1)))," "),"")</f>
        <v>0</v>
      </c>
      <c r="R123">
        <f t="array" ref="R123">IFERROR(CONCATENATE(TEXT(INDEX($Q$7:$Q$78,SMALL(IF($T$7:$T$78&lt;&gt;"",IF($Q$7:$Q$78&lt;&gt;"",ROW($Q$7:$Q$78)-MIN(ROW($Q$7:$Q$78))+1,""),""),ROW()-ROW(A$80)+1)),"##0")," "),"")</f>
        <v>0</v>
      </c>
      <c r="S123">
        <f t="array" ref="S123">IFERROR(CONCATENATE((INDEX($A$7:$A$78,SMALL(IF($T$7:$T$78&lt;&gt;"",IF($Q$7:$Q$78&lt;&gt;"",ROW($Q$7:$Q$78)-MIN(ROW($Q$7:$Q$78))+1,""),""),ROW()-ROW(A$80)+1))),),"")</f>
        <v>0</v>
      </c>
      <c r="W123">
        <f t="array" ref="W123">IFERROR(CONCATENATE((INDEX($Z$7:$Z$78,SMALL(IF($Z$7:$Z$78&lt;&gt;"",IF($W$7:$W$78&lt;&gt;"",ROW($W$7:$W$78)-MIN(ROW($W$7:$W$78))+1,""),""),ROW()-ROW(A$80)+1))),","),"")</f>
        <v>0</v>
      </c>
      <c r="X123">
        <f t="array" ref="X123">IFERROR(CONCATENATE(TEXT(INDEX($W$7:$W$78,SMALL(IF($Z$7:$Z$78&lt;&gt;"",IF($W$7:$W$78&lt;&gt;"",ROW($W$7:$W$78)-MIN(ROW($W$7:$W$78))+1,""),""),ROW()-ROW(A$80)+1)),"##0"),","),"")</f>
        <v>0</v>
      </c>
      <c r="Y123">
        <f t="array" ref="Y123">IFERROR(CONCATENATE((INDEX($A$7:$A$78,SMALL(IF($Z$7:$Z$78&lt;&gt;"",IF($W$7:$W$78&lt;&gt;"",ROW($W$7:$W$78)-MIN(ROW($W$7:$W$78))+1,""),""),ROW()-ROW(A$80)+1))),),"")</f>
        <v>0</v>
      </c>
    </row>
    <row r="124" spans="11:25">
      <c r="K124">
        <f t="array" ref="K124">IFERROR(CONCATENATE(TEXT(INDEX($K$7:$K$78,SMALL(IF($N$7:$N$78&lt;&gt;"",IF($K$7:$K$78&lt;&gt;"",ROW($K$7:$K$78)-MIN(ROW($K$7:$K$78))+1,""),""),ROW()-ROW(A$80)+1)),"##0"),","),"")</f>
        <v>0</v>
      </c>
      <c r="L124">
        <f t="array" ref="L124">IFERROR(CONCATENATE((INDEX($N$7:$N$78,SMALL(IF($N$7:$N$78&lt;&gt;"",IF($K$7:$K$78&lt;&gt;"",ROW($K$7:$K$78)-MIN(ROW($K$7:$K$78))+1,""),""),ROW()-ROW(A$80)+1))),","),"")</f>
        <v>0</v>
      </c>
      <c r="M124">
        <f t="array" ref="M124">IFERROR(CONCATENATE((INDEX($A$7:$A$78,SMALL(IF($N$7:$N$78&lt;&gt;"",IF($K$7:$K$78&lt;&gt;"",ROW($K$7:$K$78)-MIN(ROW($K$7:$K$78))+1,""),""),ROW()-ROW(A$80)+1))),),"")</f>
        <v>0</v>
      </c>
      <c r="Q124">
        <f t="array" ref="Q124">IFERROR(CONCATENATE((INDEX($T$7:$T$78,SMALL(IF($T$7:$T$78&lt;&gt;"",IF($Q$7:$Q$78&lt;&gt;"",ROW($Q$7:$Q$78)-MIN(ROW($Q$7:$Q$78))+1,""),""),ROW()-ROW(A$80)+1)))," "),"")</f>
        <v>0</v>
      </c>
      <c r="R124">
        <f t="array" ref="R124">IFERROR(CONCATENATE(TEXT(INDEX($Q$7:$Q$78,SMALL(IF($T$7:$T$78&lt;&gt;"",IF($Q$7:$Q$78&lt;&gt;"",ROW($Q$7:$Q$78)-MIN(ROW($Q$7:$Q$78))+1,""),""),ROW()-ROW(A$80)+1)),"##0")," "),"")</f>
        <v>0</v>
      </c>
      <c r="S124">
        <f t="array" ref="S124">IFERROR(CONCATENATE((INDEX($A$7:$A$78,SMALL(IF($T$7:$T$78&lt;&gt;"",IF($Q$7:$Q$78&lt;&gt;"",ROW($Q$7:$Q$78)-MIN(ROW($Q$7:$Q$78))+1,""),""),ROW()-ROW(A$80)+1))),),"")</f>
        <v>0</v>
      </c>
      <c r="W124">
        <f t="array" ref="W124">IFERROR(CONCATENATE((INDEX($Z$7:$Z$78,SMALL(IF($Z$7:$Z$78&lt;&gt;"",IF($W$7:$W$78&lt;&gt;"",ROW($W$7:$W$78)-MIN(ROW($W$7:$W$78))+1,""),""),ROW()-ROW(A$80)+1))),","),"")</f>
        <v>0</v>
      </c>
      <c r="X124">
        <f t="array" ref="X124">IFERROR(CONCATENATE(TEXT(INDEX($W$7:$W$78,SMALL(IF($Z$7:$Z$78&lt;&gt;"",IF($W$7:$W$78&lt;&gt;"",ROW($W$7:$W$78)-MIN(ROW($W$7:$W$78))+1,""),""),ROW()-ROW(A$80)+1)),"##0"),","),"")</f>
        <v>0</v>
      </c>
      <c r="Y124">
        <f t="array" ref="Y124">IFERROR(CONCATENATE((INDEX($A$7:$A$78,SMALL(IF($Z$7:$Z$78&lt;&gt;"",IF($W$7:$W$78&lt;&gt;"",ROW($W$7:$W$78)-MIN(ROW($W$7:$W$78))+1,""),""),ROW()-ROW(A$80)+1))),),"")</f>
        <v>0</v>
      </c>
    </row>
    <row r="125" spans="11:25">
      <c r="K125">
        <f t="array" ref="K125">IFERROR(CONCATENATE(TEXT(INDEX($K$7:$K$78,SMALL(IF($N$7:$N$78&lt;&gt;"",IF($K$7:$K$78&lt;&gt;"",ROW($K$7:$K$78)-MIN(ROW($K$7:$K$78))+1,""),""),ROW()-ROW(A$80)+1)),"##0"),","),"")</f>
        <v>0</v>
      </c>
      <c r="L125">
        <f t="array" ref="L125">IFERROR(CONCATENATE((INDEX($N$7:$N$78,SMALL(IF($N$7:$N$78&lt;&gt;"",IF($K$7:$K$78&lt;&gt;"",ROW($K$7:$K$78)-MIN(ROW($K$7:$K$78))+1,""),""),ROW()-ROW(A$80)+1))),","),"")</f>
        <v>0</v>
      </c>
      <c r="M125">
        <f t="array" ref="M125">IFERROR(CONCATENATE((INDEX($A$7:$A$78,SMALL(IF($N$7:$N$78&lt;&gt;"",IF($K$7:$K$78&lt;&gt;"",ROW($K$7:$K$78)-MIN(ROW($K$7:$K$78))+1,""),""),ROW()-ROW(A$80)+1))),),"")</f>
        <v>0</v>
      </c>
      <c r="Q125">
        <f t="array" ref="Q125">IFERROR(CONCATENATE((INDEX($T$7:$T$78,SMALL(IF($T$7:$T$78&lt;&gt;"",IF($Q$7:$Q$78&lt;&gt;"",ROW($Q$7:$Q$78)-MIN(ROW($Q$7:$Q$78))+1,""),""),ROW()-ROW(A$80)+1)))," "),"")</f>
        <v>0</v>
      </c>
      <c r="R125">
        <f t="array" ref="R125">IFERROR(CONCATENATE(TEXT(INDEX($Q$7:$Q$78,SMALL(IF($T$7:$T$78&lt;&gt;"",IF($Q$7:$Q$78&lt;&gt;"",ROW($Q$7:$Q$78)-MIN(ROW($Q$7:$Q$78))+1,""),""),ROW()-ROW(A$80)+1)),"##0")," "),"")</f>
        <v>0</v>
      </c>
      <c r="S125">
        <f t="array" ref="S125">IFERROR(CONCATENATE((INDEX($A$7:$A$78,SMALL(IF($T$7:$T$78&lt;&gt;"",IF($Q$7:$Q$78&lt;&gt;"",ROW($Q$7:$Q$78)-MIN(ROW($Q$7:$Q$78))+1,""),""),ROW()-ROW(A$80)+1))),),"")</f>
        <v>0</v>
      </c>
      <c r="W125">
        <f t="array" ref="W125">IFERROR(CONCATENATE((INDEX($Z$7:$Z$78,SMALL(IF($Z$7:$Z$78&lt;&gt;"",IF($W$7:$W$78&lt;&gt;"",ROW($W$7:$W$78)-MIN(ROW($W$7:$W$78))+1,""),""),ROW()-ROW(A$80)+1))),","),"")</f>
        <v>0</v>
      </c>
      <c r="X125">
        <f t="array" ref="X125">IFERROR(CONCATENATE(TEXT(INDEX($W$7:$W$78,SMALL(IF($Z$7:$Z$78&lt;&gt;"",IF($W$7:$W$78&lt;&gt;"",ROW($W$7:$W$78)-MIN(ROW($W$7:$W$78))+1,""),""),ROW()-ROW(A$80)+1)),"##0"),","),"")</f>
        <v>0</v>
      </c>
      <c r="Y125">
        <f t="array" ref="Y125">IFERROR(CONCATENATE((INDEX($A$7:$A$78,SMALL(IF($Z$7:$Z$78&lt;&gt;"",IF($W$7:$W$78&lt;&gt;"",ROW($W$7:$W$78)-MIN(ROW($W$7:$W$78))+1,""),""),ROW()-ROW(A$80)+1))),),"")</f>
        <v>0</v>
      </c>
    </row>
    <row r="126" spans="11:25">
      <c r="K126">
        <f t="array" ref="K126">IFERROR(CONCATENATE(TEXT(INDEX($K$7:$K$78,SMALL(IF($N$7:$N$78&lt;&gt;"",IF($K$7:$K$78&lt;&gt;"",ROW($K$7:$K$78)-MIN(ROW($K$7:$K$78))+1,""),""),ROW()-ROW(A$80)+1)),"##0"),","),"")</f>
        <v>0</v>
      </c>
      <c r="L126">
        <f t="array" ref="L126">IFERROR(CONCATENATE((INDEX($N$7:$N$78,SMALL(IF($N$7:$N$78&lt;&gt;"",IF($K$7:$K$78&lt;&gt;"",ROW($K$7:$K$78)-MIN(ROW($K$7:$K$78))+1,""),""),ROW()-ROW(A$80)+1))),","),"")</f>
        <v>0</v>
      </c>
      <c r="M126">
        <f t="array" ref="M126">IFERROR(CONCATENATE((INDEX($A$7:$A$78,SMALL(IF($N$7:$N$78&lt;&gt;"",IF($K$7:$K$78&lt;&gt;"",ROW($K$7:$K$78)-MIN(ROW($K$7:$K$78))+1,""),""),ROW()-ROW(A$80)+1))),),"")</f>
        <v>0</v>
      </c>
      <c r="Q126">
        <f t="array" ref="Q126">IFERROR(CONCATENATE((INDEX($T$7:$T$78,SMALL(IF($T$7:$T$78&lt;&gt;"",IF($Q$7:$Q$78&lt;&gt;"",ROW($Q$7:$Q$78)-MIN(ROW($Q$7:$Q$78))+1,""),""),ROW()-ROW(A$80)+1)))," "),"")</f>
        <v>0</v>
      </c>
      <c r="R126">
        <f t="array" ref="R126">IFERROR(CONCATENATE(TEXT(INDEX($Q$7:$Q$78,SMALL(IF($T$7:$T$78&lt;&gt;"",IF($Q$7:$Q$78&lt;&gt;"",ROW($Q$7:$Q$78)-MIN(ROW($Q$7:$Q$78))+1,""),""),ROW()-ROW(A$80)+1)),"##0")," "),"")</f>
        <v>0</v>
      </c>
      <c r="S126">
        <f t="array" ref="S126">IFERROR(CONCATENATE((INDEX($A$7:$A$78,SMALL(IF($T$7:$T$78&lt;&gt;"",IF($Q$7:$Q$78&lt;&gt;"",ROW($Q$7:$Q$78)-MIN(ROW($Q$7:$Q$78))+1,""),""),ROW()-ROW(A$80)+1))),),"")</f>
        <v>0</v>
      </c>
      <c r="W126">
        <f t="array" ref="W126">IFERROR(CONCATENATE((INDEX($Z$7:$Z$78,SMALL(IF($Z$7:$Z$78&lt;&gt;"",IF($W$7:$W$78&lt;&gt;"",ROW($W$7:$W$78)-MIN(ROW($W$7:$W$78))+1,""),""),ROW()-ROW(A$80)+1))),","),"")</f>
        <v>0</v>
      </c>
      <c r="X126">
        <f t="array" ref="X126">IFERROR(CONCATENATE(TEXT(INDEX($W$7:$W$78,SMALL(IF($Z$7:$Z$78&lt;&gt;"",IF($W$7:$W$78&lt;&gt;"",ROW($W$7:$W$78)-MIN(ROW($W$7:$W$78))+1,""),""),ROW()-ROW(A$80)+1)),"##0"),","),"")</f>
        <v>0</v>
      </c>
      <c r="Y126">
        <f t="array" ref="Y126">IFERROR(CONCATENATE((INDEX($A$7:$A$78,SMALL(IF($Z$7:$Z$78&lt;&gt;"",IF($W$7:$W$78&lt;&gt;"",ROW($W$7:$W$78)-MIN(ROW($W$7:$W$78))+1,""),""),ROW()-ROW(A$80)+1))),),"")</f>
        <v>0</v>
      </c>
    </row>
    <row r="127" spans="11:25">
      <c r="K127">
        <f t="array" ref="K127">IFERROR(CONCATENATE(TEXT(INDEX($K$7:$K$78,SMALL(IF($N$7:$N$78&lt;&gt;"",IF($K$7:$K$78&lt;&gt;"",ROW($K$7:$K$78)-MIN(ROW($K$7:$K$78))+1,""),""),ROW()-ROW(A$80)+1)),"##0"),","),"")</f>
        <v>0</v>
      </c>
      <c r="L127">
        <f t="array" ref="L127">IFERROR(CONCATENATE((INDEX($N$7:$N$78,SMALL(IF($N$7:$N$78&lt;&gt;"",IF($K$7:$K$78&lt;&gt;"",ROW($K$7:$K$78)-MIN(ROW($K$7:$K$78))+1,""),""),ROW()-ROW(A$80)+1))),","),"")</f>
        <v>0</v>
      </c>
      <c r="M127">
        <f t="array" ref="M127">IFERROR(CONCATENATE((INDEX($A$7:$A$78,SMALL(IF($N$7:$N$78&lt;&gt;"",IF($K$7:$K$78&lt;&gt;"",ROW($K$7:$K$78)-MIN(ROW($K$7:$K$78))+1,""),""),ROW()-ROW(A$80)+1))),),"")</f>
        <v>0</v>
      </c>
      <c r="Q127">
        <f t="array" ref="Q127">IFERROR(CONCATENATE((INDEX($T$7:$T$78,SMALL(IF($T$7:$T$78&lt;&gt;"",IF($Q$7:$Q$78&lt;&gt;"",ROW($Q$7:$Q$78)-MIN(ROW($Q$7:$Q$78))+1,""),""),ROW()-ROW(A$80)+1)))," "),"")</f>
        <v>0</v>
      </c>
      <c r="R127">
        <f t="array" ref="R127">IFERROR(CONCATENATE(TEXT(INDEX($Q$7:$Q$78,SMALL(IF($T$7:$T$78&lt;&gt;"",IF($Q$7:$Q$78&lt;&gt;"",ROW($Q$7:$Q$78)-MIN(ROW($Q$7:$Q$78))+1,""),""),ROW()-ROW(A$80)+1)),"##0")," "),"")</f>
        <v>0</v>
      </c>
      <c r="S127">
        <f t="array" ref="S127">IFERROR(CONCATENATE((INDEX($A$7:$A$78,SMALL(IF($T$7:$T$78&lt;&gt;"",IF($Q$7:$Q$78&lt;&gt;"",ROW($Q$7:$Q$78)-MIN(ROW($Q$7:$Q$78))+1,""),""),ROW()-ROW(A$80)+1))),),"")</f>
        <v>0</v>
      </c>
      <c r="W127">
        <f t="array" ref="W127">IFERROR(CONCATENATE((INDEX($Z$7:$Z$78,SMALL(IF($Z$7:$Z$78&lt;&gt;"",IF($W$7:$W$78&lt;&gt;"",ROW($W$7:$W$78)-MIN(ROW($W$7:$W$78))+1,""),""),ROW()-ROW(A$80)+1))),","),"")</f>
        <v>0</v>
      </c>
      <c r="X127">
        <f t="array" ref="X127">IFERROR(CONCATENATE(TEXT(INDEX($W$7:$W$78,SMALL(IF($Z$7:$Z$78&lt;&gt;"",IF($W$7:$W$78&lt;&gt;"",ROW($W$7:$W$78)-MIN(ROW($W$7:$W$78))+1,""),""),ROW()-ROW(A$80)+1)),"##0"),","),"")</f>
        <v>0</v>
      </c>
      <c r="Y127">
        <f t="array" ref="Y127">IFERROR(CONCATENATE((INDEX($A$7:$A$78,SMALL(IF($Z$7:$Z$78&lt;&gt;"",IF($W$7:$W$78&lt;&gt;"",ROW($W$7:$W$78)-MIN(ROW($W$7:$W$78))+1,""),""),ROW()-ROW(A$80)+1))),),"")</f>
        <v>0</v>
      </c>
    </row>
    <row r="128" spans="11:25">
      <c r="K128">
        <f t="array" ref="K128">IFERROR(CONCATENATE(TEXT(INDEX($K$7:$K$78,SMALL(IF($N$7:$N$78&lt;&gt;"",IF($K$7:$K$78&lt;&gt;"",ROW($K$7:$K$78)-MIN(ROW($K$7:$K$78))+1,""),""),ROW()-ROW(A$80)+1)),"##0"),","),"")</f>
        <v>0</v>
      </c>
      <c r="L128">
        <f t="array" ref="L128">IFERROR(CONCATENATE((INDEX($N$7:$N$78,SMALL(IF($N$7:$N$78&lt;&gt;"",IF($K$7:$K$78&lt;&gt;"",ROW($K$7:$K$78)-MIN(ROW($K$7:$K$78))+1,""),""),ROW()-ROW(A$80)+1))),","),"")</f>
        <v>0</v>
      </c>
      <c r="M128">
        <f t="array" ref="M128">IFERROR(CONCATENATE((INDEX($A$7:$A$78,SMALL(IF($N$7:$N$78&lt;&gt;"",IF($K$7:$K$78&lt;&gt;"",ROW($K$7:$K$78)-MIN(ROW($K$7:$K$78))+1,""),""),ROW()-ROW(A$80)+1))),),"")</f>
        <v>0</v>
      </c>
      <c r="Q128">
        <f t="array" ref="Q128">IFERROR(CONCATENATE((INDEX($T$7:$T$78,SMALL(IF($T$7:$T$78&lt;&gt;"",IF($Q$7:$Q$78&lt;&gt;"",ROW($Q$7:$Q$78)-MIN(ROW($Q$7:$Q$78))+1,""),""),ROW()-ROW(A$80)+1)))," "),"")</f>
        <v>0</v>
      </c>
      <c r="R128">
        <f t="array" ref="R128">IFERROR(CONCATENATE(TEXT(INDEX($Q$7:$Q$78,SMALL(IF($T$7:$T$78&lt;&gt;"",IF($Q$7:$Q$78&lt;&gt;"",ROW($Q$7:$Q$78)-MIN(ROW($Q$7:$Q$78))+1,""),""),ROW()-ROW(A$80)+1)),"##0")," "),"")</f>
        <v>0</v>
      </c>
      <c r="S128">
        <f t="array" ref="S128">IFERROR(CONCATENATE((INDEX($A$7:$A$78,SMALL(IF($T$7:$T$78&lt;&gt;"",IF($Q$7:$Q$78&lt;&gt;"",ROW($Q$7:$Q$78)-MIN(ROW($Q$7:$Q$78))+1,""),""),ROW()-ROW(A$80)+1))),),"")</f>
        <v>0</v>
      </c>
      <c r="W128">
        <f t="array" ref="W128">IFERROR(CONCATENATE((INDEX($Z$7:$Z$78,SMALL(IF($Z$7:$Z$78&lt;&gt;"",IF($W$7:$W$78&lt;&gt;"",ROW($W$7:$W$78)-MIN(ROW($W$7:$W$78))+1,""),""),ROW()-ROW(A$80)+1))),","),"")</f>
        <v>0</v>
      </c>
      <c r="X128">
        <f t="array" ref="X128">IFERROR(CONCATENATE(TEXT(INDEX($W$7:$W$78,SMALL(IF($Z$7:$Z$78&lt;&gt;"",IF($W$7:$W$78&lt;&gt;"",ROW($W$7:$W$78)-MIN(ROW($W$7:$W$78))+1,""),""),ROW()-ROW(A$80)+1)),"##0"),","),"")</f>
        <v>0</v>
      </c>
      <c r="Y128">
        <f t="array" ref="Y128">IFERROR(CONCATENATE((INDEX($A$7:$A$78,SMALL(IF($Z$7:$Z$78&lt;&gt;"",IF($W$7:$W$78&lt;&gt;"",ROW($W$7:$W$78)-MIN(ROW($W$7:$W$78))+1,""),""),ROW()-ROW(A$80)+1))),),"")</f>
        <v>0</v>
      </c>
    </row>
    <row r="129" spans="11:25">
      <c r="K129">
        <f t="array" ref="K129">IFERROR(CONCATENATE(TEXT(INDEX($K$7:$K$78,SMALL(IF($N$7:$N$78&lt;&gt;"",IF($K$7:$K$78&lt;&gt;"",ROW($K$7:$K$78)-MIN(ROW($K$7:$K$78))+1,""),""),ROW()-ROW(A$80)+1)),"##0"),","),"")</f>
        <v>0</v>
      </c>
      <c r="L129">
        <f t="array" ref="L129">IFERROR(CONCATENATE((INDEX($N$7:$N$78,SMALL(IF($N$7:$N$78&lt;&gt;"",IF($K$7:$K$78&lt;&gt;"",ROW($K$7:$K$78)-MIN(ROW($K$7:$K$78))+1,""),""),ROW()-ROW(A$80)+1))),","),"")</f>
        <v>0</v>
      </c>
      <c r="M129">
        <f t="array" ref="M129">IFERROR(CONCATENATE((INDEX($A$7:$A$78,SMALL(IF($N$7:$N$78&lt;&gt;"",IF($K$7:$K$78&lt;&gt;"",ROW($K$7:$K$78)-MIN(ROW($K$7:$K$78))+1,""),""),ROW()-ROW(A$80)+1))),),"")</f>
        <v>0</v>
      </c>
      <c r="Q129">
        <f t="array" ref="Q129">IFERROR(CONCATENATE((INDEX($T$7:$T$78,SMALL(IF($T$7:$T$78&lt;&gt;"",IF($Q$7:$Q$78&lt;&gt;"",ROW($Q$7:$Q$78)-MIN(ROW($Q$7:$Q$78))+1,""),""),ROW()-ROW(A$80)+1)))," "),"")</f>
        <v>0</v>
      </c>
      <c r="R129">
        <f t="array" ref="R129">IFERROR(CONCATENATE(TEXT(INDEX($Q$7:$Q$78,SMALL(IF($T$7:$T$78&lt;&gt;"",IF($Q$7:$Q$78&lt;&gt;"",ROW($Q$7:$Q$78)-MIN(ROW($Q$7:$Q$78))+1,""),""),ROW()-ROW(A$80)+1)),"##0")," "),"")</f>
        <v>0</v>
      </c>
      <c r="S129">
        <f t="array" ref="S129">IFERROR(CONCATENATE((INDEX($A$7:$A$78,SMALL(IF($T$7:$T$78&lt;&gt;"",IF($Q$7:$Q$78&lt;&gt;"",ROW($Q$7:$Q$78)-MIN(ROW($Q$7:$Q$78))+1,""),""),ROW()-ROW(A$80)+1))),),"")</f>
        <v>0</v>
      </c>
      <c r="W129">
        <f t="array" ref="W129">IFERROR(CONCATENATE((INDEX($Z$7:$Z$78,SMALL(IF($Z$7:$Z$78&lt;&gt;"",IF($W$7:$W$78&lt;&gt;"",ROW($W$7:$W$78)-MIN(ROW($W$7:$W$78))+1,""),""),ROW()-ROW(A$80)+1))),","),"")</f>
        <v>0</v>
      </c>
      <c r="X129">
        <f t="array" ref="X129">IFERROR(CONCATENATE(TEXT(INDEX($W$7:$W$78,SMALL(IF($Z$7:$Z$78&lt;&gt;"",IF($W$7:$W$78&lt;&gt;"",ROW($W$7:$W$78)-MIN(ROW($W$7:$W$78))+1,""),""),ROW()-ROW(A$80)+1)),"##0"),","),"")</f>
        <v>0</v>
      </c>
      <c r="Y129">
        <f t="array" ref="Y129">IFERROR(CONCATENATE((INDEX($A$7:$A$78,SMALL(IF($Z$7:$Z$78&lt;&gt;"",IF($W$7:$W$78&lt;&gt;"",ROW($W$7:$W$78)-MIN(ROW($W$7:$W$78))+1,""),""),ROW()-ROW(A$80)+1))),),"")</f>
        <v>0</v>
      </c>
    </row>
    <row r="130" spans="11:25">
      <c r="K130">
        <f t="array" ref="K130">IFERROR(CONCATENATE(TEXT(INDEX($K$7:$K$78,SMALL(IF($N$7:$N$78&lt;&gt;"",IF($K$7:$K$78&lt;&gt;"",ROW($K$7:$K$78)-MIN(ROW($K$7:$K$78))+1,""),""),ROW()-ROW(A$80)+1)),"##0"),","),"")</f>
        <v>0</v>
      </c>
      <c r="L130">
        <f t="array" ref="L130">IFERROR(CONCATENATE((INDEX($N$7:$N$78,SMALL(IF($N$7:$N$78&lt;&gt;"",IF($K$7:$K$78&lt;&gt;"",ROW($K$7:$K$78)-MIN(ROW($K$7:$K$78))+1,""),""),ROW()-ROW(A$80)+1))),","),"")</f>
        <v>0</v>
      </c>
      <c r="M130">
        <f t="array" ref="M130">IFERROR(CONCATENATE((INDEX($A$7:$A$78,SMALL(IF($N$7:$N$78&lt;&gt;"",IF($K$7:$K$78&lt;&gt;"",ROW($K$7:$K$78)-MIN(ROW($K$7:$K$78))+1,""),""),ROW()-ROW(A$80)+1))),),"")</f>
        <v>0</v>
      </c>
      <c r="Q130">
        <f t="array" ref="Q130">IFERROR(CONCATENATE((INDEX($T$7:$T$78,SMALL(IF($T$7:$T$78&lt;&gt;"",IF($Q$7:$Q$78&lt;&gt;"",ROW($Q$7:$Q$78)-MIN(ROW($Q$7:$Q$78))+1,""),""),ROW()-ROW(A$80)+1)))," "),"")</f>
        <v>0</v>
      </c>
      <c r="R130">
        <f t="array" ref="R130">IFERROR(CONCATENATE(TEXT(INDEX($Q$7:$Q$78,SMALL(IF($T$7:$T$78&lt;&gt;"",IF($Q$7:$Q$78&lt;&gt;"",ROW($Q$7:$Q$78)-MIN(ROW($Q$7:$Q$78))+1,""),""),ROW()-ROW(A$80)+1)),"##0")," "),"")</f>
        <v>0</v>
      </c>
      <c r="S130">
        <f t="array" ref="S130">IFERROR(CONCATENATE((INDEX($A$7:$A$78,SMALL(IF($T$7:$T$78&lt;&gt;"",IF($Q$7:$Q$78&lt;&gt;"",ROW($Q$7:$Q$78)-MIN(ROW($Q$7:$Q$78))+1,""),""),ROW()-ROW(A$80)+1))),),"")</f>
        <v>0</v>
      </c>
      <c r="W130">
        <f t="array" ref="W130">IFERROR(CONCATENATE((INDEX($Z$7:$Z$78,SMALL(IF($Z$7:$Z$78&lt;&gt;"",IF($W$7:$W$78&lt;&gt;"",ROW($W$7:$W$78)-MIN(ROW($W$7:$W$78))+1,""),""),ROW()-ROW(A$80)+1))),","),"")</f>
        <v>0</v>
      </c>
      <c r="X130">
        <f t="array" ref="X130">IFERROR(CONCATENATE(TEXT(INDEX($W$7:$W$78,SMALL(IF($Z$7:$Z$78&lt;&gt;"",IF($W$7:$W$78&lt;&gt;"",ROW($W$7:$W$78)-MIN(ROW($W$7:$W$78))+1,""),""),ROW()-ROW(A$80)+1)),"##0"),","),"")</f>
        <v>0</v>
      </c>
      <c r="Y130">
        <f t="array" ref="Y130">IFERROR(CONCATENATE((INDEX($A$7:$A$78,SMALL(IF($Z$7:$Z$78&lt;&gt;"",IF($W$7:$W$78&lt;&gt;"",ROW($W$7:$W$78)-MIN(ROW($W$7:$W$78))+1,""),""),ROW()-ROW(A$80)+1))),),"")</f>
        <v>0</v>
      </c>
    </row>
    <row r="131" spans="11:25">
      <c r="K131">
        <f t="array" ref="K131">IFERROR(CONCATENATE(TEXT(INDEX($K$7:$K$78,SMALL(IF($N$7:$N$78&lt;&gt;"",IF($K$7:$K$78&lt;&gt;"",ROW($K$7:$K$78)-MIN(ROW($K$7:$K$78))+1,""),""),ROW()-ROW(A$80)+1)),"##0"),","),"")</f>
        <v>0</v>
      </c>
      <c r="L131">
        <f t="array" ref="L131">IFERROR(CONCATENATE((INDEX($N$7:$N$78,SMALL(IF($N$7:$N$78&lt;&gt;"",IF($K$7:$K$78&lt;&gt;"",ROW($K$7:$K$78)-MIN(ROW($K$7:$K$78))+1,""),""),ROW()-ROW(A$80)+1))),","),"")</f>
        <v>0</v>
      </c>
      <c r="M131">
        <f t="array" ref="M131">IFERROR(CONCATENATE((INDEX($A$7:$A$78,SMALL(IF($N$7:$N$78&lt;&gt;"",IF($K$7:$K$78&lt;&gt;"",ROW($K$7:$K$78)-MIN(ROW($K$7:$K$78))+1,""),""),ROW()-ROW(A$80)+1))),),"")</f>
        <v>0</v>
      </c>
      <c r="Q131">
        <f t="array" ref="Q131">IFERROR(CONCATENATE((INDEX($T$7:$T$78,SMALL(IF($T$7:$T$78&lt;&gt;"",IF($Q$7:$Q$78&lt;&gt;"",ROW($Q$7:$Q$78)-MIN(ROW($Q$7:$Q$78))+1,""),""),ROW()-ROW(A$80)+1)))," "),"")</f>
        <v>0</v>
      </c>
      <c r="R131">
        <f t="array" ref="R131">IFERROR(CONCATENATE(TEXT(INDEX($Q$7:$Q$78,SMALL(IF($T$7:$T$78&lt;&gt;"",IF($Q$7:$Q$78&lt;&gt;"",ROW($Q$7:$Q$78)-MIN(ROW($Q$7:$Q$78))+1,""),""),ROW()-ROW(A$80)+1)),"##0")," "),"")</f>
        <v>0</v>
      </c>
      <c r="S131">
        <f t="array" ref="S131">IFERROR(CONCATENATE((INDEX($A$7:$A$78,SMALL(IF($T$7:$T$78&lt;&gt;"",IF($Q$7:$Q$78&lt;&gt;"",ROW($Q$7:$Q$78)-MIN(ROW($Q$7:$Q$78))+1,""),""),ROW()-ROW(A$80)+1))),),"")</f>
        <v>0</v>
      </c>
      <c r="W131">
        <f t="array" ref="W131">IFERROR(CONCATENATE((INDEX($Z$7:$Z$78,SMALL(IF($Z$7:$Z$78&lt;&gt;"",IF($W$7:$W$78&lt;&gt;"",ROW($W$7:$W$78)-MIN(ROW($W$7:$W$78))+1,""),""),ROW()-ROW(A$80)+1))),","),"")</f>
        <v>0</v>
      </c>
      <c r="X131">
        <f t="array" ref="X131">IFERROR(CONCATENATE(TEXT(INDEX($W$7:$W$78,SMALL(IF($Z$7:$Z$78&lt;&gt;"",IF($W$7:$W$78&lt;&gt;"",ROW($W$7:$W$78)-MIN(ROW($W$7:$W$78))+1,""),""),ROW()-ROW(A$80)+1)),"##0"),","),"")</f>
        <v>0</v>
      </c>
      <c r="Y131">
        <f t="array" ref="Y131">IFERROR(CONCATENATE((INDEX($A$7:$A$78,SMALL(IF($Z$7:$Z$78&lt;&gt;"",IF($W$7:$W$78&lt;&gt;"",ROW($W$7:$W$78)-MIN(ROW($W$7:$W$78))+1,""),""),ROW()-ROW(A$80)+1))),),"")</f>
        <v>0</v>
      </c>
    </row>
    <row r="132" spans="11:25">
      <c r="K132">
        <f t="array" ref="K132">IFERROR(CONCATENATE(TEXT(INDEX($K$7:$K$78,SMALL(IF($N$7:$N$78&lt;&gt;"",IF($K$7:$K$78&lt;&gt;"",ROW($K$7:$K$78)-MIN(ROW($K$7:$K$78))+1,""),""),ROW()-ROW(A$80)+1)),"##0"),","),"")</f>
        <v>0</v>
      </c>
      <c r="L132">
        <f t="array" ref="L132">IFERROR(CONCATENATE((INDEX($N$7:$N$78,SMALL(IF($N$7:$N$78&lt;&gt;"",IF($K$7:$K$78&lt;&gt;"",ROW($K$7:$K$78)-MIN(ROW($K$7:$K$78))+1,""),""),ROW()-ROW(A$80)+1))),","),"")</f>
        <v>0</v>
      </c>
      <c r="M132">
        <f t="array" ref="M132">IFERROR(CONCATENATE((INDEX($A$7:$A$78,SMALL(IF($N$7:$N$78&lt;&gt;"",IF($K$7:$K$78&lt;&gt;"",ROW($K$7:$K$78)-MIN(ROW($K$7:$K$78))+1,""),""),ROW()-ROW(A$80)+1))),),"")</f>
        <v>0</v>
      </c>
      <c r="Q132">
        <f t="array" ref="Q132">IFERROR(CONCATENATE((INDEX($T$7:$T$78,SMALL(IF($T$7:$T$78&lt;&gt;"",IF($Q$7:$Q$78&lt;&gt;"",ROW($Q$7:$Q$78)-MIN(ROW($Q$7:$Q$78))+1,""),""),ROW()-ROW(A$80)+1)))," "),"")</f>
        <v>0</v>
      </c>
      <c r="R132">
        <f t="array" ref="R132">IFERROR(CONCATENATE(TEXT(INDEX($Q$7:$Q$78,SMALL(IF($T$7:$T$78&lt;&gt;"",IF($Q$7:$Q$78&lt;&gt;"",ROW($Q$7:$Q$78)-MIN(ROW($Q$7:$Q$78))+1,""),""),ROW()-ROW(A$80)+1)),"##0")," "),"")</f>
        <v>0</v>
      </c>
      <c r="S132">
        <f t="array" ref="S132">IFERROR(CONCATENATE((INDEX($A$7:$A$78,SMALL(IF($T$7:$T$78&lt;&gt;"",IF($Q$7:$Q$78&lt;&gt;"",ROW($Q$7:$Q$78)-MIN(ROW($Q$7:$Q$78))+1,""),""),ROW()-ROW(A$80)+1))),),"")</f>
        <v>0</v>
      </c>
      <c r="W132">
        <f t="array" ref="W132">IFERROR(CONCATENATE((INDEX($Z$7:$Z$78,SMALL(IF($Z$7:$Z$78&lt;&gt;"",IF($W$7:$W$78&lt;&gt;"",ROW($W$7:$W$78)-MIN(ROW($W$7:$W$78))+1,""),""),ROW()-ROW(A$80)+1))),","),"")</f>
        <v>0</v>
      </c>
      <c r="X132">
        <f t="array" ref="X132">IFERROR(CONCATENATE(TEXT(INDEX($W$7:$W$78,SMALL(IF($Z$7:$Z$78&lt;&gt;"",IF($W$7:$W$78&lt;&gt;"",ROW($W$7:$W$78)-MIN(ROW($W$7:$W$78))+1,""),""),ROW()-ROW(A$80)+1)),"##0"),","),"")</f>
        <v>0</v>
      </c>
      <c r="Y132">
        <f t="array" ref="Y132">IFERROR(CONCATENATE((INDEX($A$7:$A$78,SMALL(IF($Z$7:$Z$78&lt;&gt;"",IF($W$7:$W$78&lt;&gt;"",ROW($W$7:$W$78)-MIN(ROW($W$7:$W$78))+1,""),""),ROW()-ROW(A$80)+1))),),"")</f>
        <v>0</v>
      </c>
    </row>
    <row r="133" spans="11:25">
      <c r="K133">
        <f t="array" ref="K133">IFERROR(CONCATENATE(TEXT(INDEX($K$7:$K$78,SMALL(IF($N$7:$N$78&lt;&gt;"",IF($K$7:$K$78&lt;&gt;"",ROW($K$7:$K$78)-MIN(ROW($K$7:$K$78))+1,""),""),ROW()-ROW(A$80)+1)),"##0"),","),"")</f>
        <v>0</v>
      </c>
      <c r="L133">
        <f t="array" ref="L133">IFERROR(CONCATENATE((INDEX($N$7:$N$78,SMALL(IF($N$7:$N$78&lt;&gt;"",IF($K$7:$K$78&lt;&gt;"",ROW($K$7:$K$78)-MIN(ROW($K$7:$K$78))+1,""),""),ROW()-ROW(A$80)+1))),","),"")</f>
        <v>0</v>
      </c>
      <c r="M133">
        <f t="array" ref="M133">IFERROR(CONCATENATE((INDEX($A$7:$A$78,SMALL(IF($N$7:$N$78&lt;&gt;"",IF($K$7:$K$78&lt;&gt;"",ROW($K$7:$K$78)-MIN(ROW($K$7:$K$78))+1,""),""),ROW()-ROW(A$80)+1))),),"")</f>
        <v>0</v>
      </c>
      <c r="Q133">
        <f t="array" ref="Q133">IFERROR(CONCATENATE((INDEX($T$7:$T$78,SMALL(IF($T$7:$T$78&lt;&gt;"",IF($Q$7:$Q$78&lt;&gt;"",ROW($Q$7:$Q$78)-MIN(ROW($Q$7:$Q$78))+1,""),""),ROW()-ROW(A$80)+1)))," "),"")</f>
        <v>0</v>
      </c>
      <c r="R133">
        <f t="array" ref="R133">IFERROR(CONCATENATE(TEXT(INDEX($Q$7:$Q$78,SMALL(IF($T$7:$T$78&lt;&gt;"",IF($Q$7:$Q$78&lt;&gt;"",ROW($Q$7:$Q$78)-MIN(ROW($Q$7:$Q$78))+1,""),""),ROW()-ROW(A$80)+1)),"##0")," "),"")</f>
        <v>0</v>
      </c>
      <c r="S133">
        <f t="array" ref="S133">IFERROR(CONCATENATE((INDEX($A$7:$A$78,SMALL(IF($T$7:$T$78&lt;&gt;"",IF($Q$7:$Q$78&lt;&gt;"",ROW($Q$7:$Q$78)-MIN(ROW($Q$7:$Q$78))+1,""),""),ROW()-ROW(A$80)+1))),),"")</f>
        <v>0</v>
      </c>
      <c r="W133">
        <f t="array" ref="W133">IFERROR(CONCATENATE((INDEX($Z$7:$Z$78,SMALL(IF($Z$7:$Z$78&lt;&gt;"",IF($W$7:$W$78&lt;&gt;"",ROW($W$7:$W$78)-MIN(ROW($W$7:$W$78))+1,""),""),ROW()-ROW(A$80)+1))),","),"")</f>
        <v>0</v>
      </c>
      <c r="X133">
        <f t="array" ref="X133">IFERROR(CONCATENATE(TEXT(INDEX($W$7:$W$78,SMALL(IF($Z$7:$Z$78&lt;&gt;"",IF($W$7:$W$78&lt;&gt;"",ROW($W$7:$W$78)-MIN(ROW($W$7:$W$78))+1,""),""),ROW()-ROW(A$80)+1)),"##0"),","),"")</f>
        <v>0</v>
      </c>
      <c r="Y133">
        <f t="array" ref="Y133">IFERROR(CONCATENATE((INDEX($A$7:$A$78,SMALL(IF($Z$7:$Z$78&lt;&gt;"",IF($W$7:$W$78&lt;&gt;"",ROW($W$7:$W$78)-MIN(ROW($W$7:$W$78))+1,""),""),ROW()-ROW(A$80)+1))),),"")</f>
        <v>0</v>
      </c>
    </row>
    <row r="134" spans="11:25">
      <c r="K134">
        <f t="array" ref="K134">IFERROR(CONCATENATE(TEXT(INDEX($K$7:$K$78,SMALL(IF($N$7:$N$78&lt;&gt;"",IF($K$7:$K$78&lt;&gt;"",ROW($K$7:$K$78)-MIN(ROW($K$7:$K$78))+1,""),""),ROW()-ROW(A$80)+1)),"##0"),","),"")</f>
        <v>0</v>
      </c>
      <c r="L134">
        <f t="array" ref="L134">IFERROR(CONCATENATE((INDEX($N$7:$N$78,SMALL(IF($N$7:$N$78&lt;&gt;"",IF($K$7:$K$78&lt;&gt;"",ROW($K$7:$K$78)-MIN(ROW($K$7:$K$78))+1,""),""),ROW()-ROW(A$80)+1))),","),"")</f>
        <v>0</v>
      </c>
      <c r="M134">
        <f t="array" ref="M134">IFERROR(CONCATENATE((INDEX($A$7:$A$78,SMALL(IF($N$7:$N$78&lt;&gt;"",IF($K$7:$K$78&lt;&gt;"",ROW($K$7:$K$78)-MIN(ROW($K$7:$K$78))+1,""),""),ROW()-ROW(A$80)+1))),),"")</f>
        <v>0</v>
      </c>
      <c r="Q134">
        <f t="array" ref="Q134">IFERROR(CONCATENATE((INDEX($T$7:$T$78,SMALL(IF($T$7:$T$78&lt;&gt;"",IF($Q$7:$Q$78&lt;&gt;"",ROW($Q$7:$Q$78)-MIN(ROW($Q$7:$Q$78))+1,""),""),ROW()-ROW(A$80)+1)))," "),"")</f>
        <v>0</v>
      </c>
      <c r="R134">
        <f t="array" ref="R134">IFERROR(CONCATENATE(TEXT(INDEX($Q$7:$Q$78,SMALL(IF($T$7:$T$78&lt;&gt;"",IF($Q$7:$Q$78&lt;&gt;"",ROW($Q$7:$Q$78)-MIN(ROW($Q$7:$Q$78))+1,""),""),ROW()-ROW(A$80)+1)),"##0")," "),"")</f>
        <v>0</v>
      </c>
      <c r="S134">
        <f t="array" ref="S134">IFERROR(CONCATENATE((INDEX($A$7:$A$78,SMALL(IF($T$7:$T$78&lt;&gt;"",IF($Q$7:$Q$78&lt;&gt;"",ROW($Q$7:$Q$78)-MIN(ROW($Q$7:$Q$78))+1,""),""),ROW()-ROW(A$80)+1))),),"")</f>
        <v>0</v>
      </c>
      <c r="W134">
        <f t="array" ref="W134">IFERROR(CONCATENATE((INDEX($Z$7:$Z$78,SMALL(IF($Z$7:$Z$78&lt;&gt;"",IF($W$7:$W$78&lt;&gt;"",ROW($W$7:$W$78)-MIN(ROW($W$7:$W$78))+1,""),""),ROW()-ROW(A$80)+1))),","),"")</f>
        <v>0</v>
      </c>
      <c r="X134">
        <f t="array" ref="X134">IFERROR(CONCATENATE(TEXT(INDEX($W$7:$W$78,SMALL(IF($Z$7:$Z$78&lt;&gt;"",IF($W$7:$W$78&lt;&gt;"",ROW($W$7:$W$78)-MIN(ROW($W$7:$W$78))+1,""),""),ROW()-ROW(A$80)+1)),"##0"),","),"")</f>
        <v>0</v>
      </c>
      <c r="Y134">
        <f t="array" ref="Y134">IFERROR(CONCATENATE((INDEX($A$7:$A$78,SMALL(IF($Z$7:$Z$78&lt;&gt;"",IF($W$7:$W$78&lt;&gt;"",ROW($W$7:$W$78)-MIN(ROW($W$7:$W$78))+1,""),""),ROW()-ROW(A$80)+1))),),"")</f>
        <v>0</v>
      </c>
    </row>
    <row r="135" spans="11:25">
      <c r="K135">
        <f t="array" ref="K135">IFERROR(CONCATENATE(TEXT(INDEX($K$7:$K$78,SMALL(IF($N$7:$N$78&lt;&gt;"",IF($K$7:$K$78&lt;&gt;"",ROW($K$7:$K$78)-MIN(ROW($K$7:$K$78))+1,""),""),ROW()-ROW(A$80)+1)),"##0"),","),"")</f>
        <v>0</v>
      </c>
      <c r="L135">
        <f t="array" ref="L135">IFERROR(CONCATENATE((INDEX($N$7:$N$78,SMALL(IF($N$7:$N$78&lt;&gt;"",IF($K$7:$K$78&lt;&gt;"",ROW($K$7:$K$78)-MIN(ROW($K$7:$K$78))+1,""),""),ROW()-ROW(A$80)+1))),","),"")</f>
        <v>0</v>
      </c>
      <c r="M135">
        <f t="array" ref="M135">IFERROR(CONCATENATE((INDEX($A$7:$A$78,SMALL(IF($N$7:$N$78&lt;&gt;"",IF($K$7:$K$78&lt;&gt;"",ROW($K$7:$K$78)-MIN(ROW($K$7:$K$78))+1,""),""),ROW()-ROW(A$80)+1))),),"")</f>
        <v>0</v>
      </c>
      <c r="Q135">
        <f t="array" ref="Q135">IFERROR(CONCATENATE((INDEX($T$7:$T$78,SMALL(IF($T$7:$T$78&lt;&gt;"",IF($Q$7:$Q$78&lt;&gt;"",ROW($Q$7:$Q$78)-MIN(ROW($Q$7:$Q$78))+1,""),""),ROW()-ROW(A$80)+1)))," "),"")</f>
        <v>0</v>
      </c>
      <c r="R135">
        <f t="array" ref="R135">IFERROR(CONCATENATE(TEXT(INDEX($Q$7:$Q$78,SMALL(IF($T$7:$T$78&lt;&gt;"",IF($Q$7:$Q$78&lt;&gt;"",ROW($Q$7:$Q$78)-MIN(ROW($Q$7:$Q$78))+1,""),""),ROW()-ROW(A$80)+1)),"##0")," "),"")</f>
        <v>0</v>
      </c>
      <c r="S135">
        <f t="array" ref="S135">IFERROR(CONCATENATE((INDEX($A$7:$A$78,SMALL(IF($T$7:$T$78&lt;&gt;"",IF($Q$7:$Q$78&lt;&gt;"",ROW($Q$7:$Q$78)-MIN(ROW($Q$7:$Q$78))+1,""),""),ROW()-ROW(A$80)+1))),),"")</f>
        <v>0</v>
      </c>
      <c r="W135">
        <f t="array" ref="W135">IFERROR(CONCATENATE((INDEX($Z$7:$Z$78,SMALL(IF($Z$7:$Z$78&lt;&gt;"",IF($W$7:$W$78&lt;&gt;"",ROW($W$7:$W$78)-MIN(ROW($W$7:$W$78))+1,""),""),ROW()-ROW(A$80)+1))),","),"")</f>
        <v>0</v>
      </c>
      <c r="X135">
        <f t="array" ref="X135">IFERROR(CONCATENATE(TEXT(INDEX($W$7:$W$78,SMALL(IF($Z$7:$Z$78&lt;&gt;"",IF($W$7:$W$78&lt;&gt;"",ROW($W$7:$W$78)-MIN(ROW($W$7:$W$78))+1,""),""),ROW()-ROW(A$80)+1)),"##0"),","),"")</f>
        <v>0</v>
      </c>
      <c r="Y135">
        <f t="array" ref="Y135">IFERROR(CONCATENATE((INDEX($A$7:$A$78,SMALL(IF($Z$7:$Z$78&lt;&gt;"",IF($W$7:$W$78&lt;&gt;"",ROW($W$7:$W$78)-MIN(ROW($W$7:$W$78))+1,""),""),ROW()-ROW(A$80)+1))),),"")</f>
        <v>0</v>
      </c>
    </row>
    <row r="136" spans="11:25">
      <c r="K136">
        <f t="array" ref="K136">IFERROR(CONCATENATE(TEXT(INDEX($K$7:$K$78,SMALL(IF($N$7:$N$78&lt;&gt;"",IF($K$7:$K$78&lt;&gt;"",ROW($K$7:$K$78)-MIN(ROW($K$7:$K$78))+1,""),""),ROW()-ROW(A$80)+1)),"##0"),","),"")</f>
        <v>0</v>
      </c>
      <c r="L136">
        <f t="array" ref="L136">IFERROR(CONCATENATE((INDEX($N$7:$N$78,SMALL(IF($N$7:$N$78&lt;&gt;"",IF($K$7:$K$78&lt;&gt;"",ROW($K$7:$K$78)-MIN(ROW($K$7:$K$78))+1,""),""),ROW()-ROW(A$80)+1))),","),"")</f>
        <v>0</v>
      </c>
      <c r="M136">
        <f t="array" ref="M136">IFERROR(CONCATENATE((INDEX($A$7:$A$78,SMALL(IF($N$7:$N$78&lt;&gt;"",IF($K$7:$K$78&lt;&gt;"",ROW($K$7:$K$78)-MIN(ROW($K$7:$K$78))+1,""),""),ROW()-ROW(A$80)+1))),),"")</f>
        <v>0</v>
      </c>
      <c r="Q136">
        <f t="array" ref="Q136">IFERROR(CONCATENATE((INDEX($T$7:$T$78,SMALL(IF($T$7:$T$78&lt;&gt;"",IF($Q$7:$Q$78&lt;&gt;"",ROW($Q$7:$Q$78)-MIN(ROW($Q$7:$Q$78))+1,""),""),ROW()-ROW(A$80)+1)))," "),"")</f>
        <v>0</v>
      </c>
      <c r="R136">
        <f t="array" ref="R136">IFERROR(CONCATENATE(TEXT(INDEX($Q$7:$Q$78,SMALL(IF($T$7:$T$78&lt;&gt;"",IF($Q$7:$Q$78&lt;&gt;"",ROW($Q$7:$Q$78)-MIN(ROW($Q$7:$Q$78))+1,""),""),ROW()-ROW(A$80)+1)),"##0")," "),"")</f>
        <v>0</v>
      </c>
      <c r="S136">
        <f t="array" ref="S136">IFERROR(CONCATENATE((INDEX($A$7:$A$78,SMALL(IF($T$7:$T$78&lt;&gt;"",IF($Q$7:$Q$78&lt;&gt;"",ROW($Q$7:$Q$78)-MIN(ROW($Q$7:$Q$78))+1,""),""),ROW()-ROW(A$80)+1))),),"")</f>
        <v>0</v>
      </c>
      <c r="W136">
        <f t="array" ref="W136">IFERROR(CONCATENATE((INDEX($Z$7:$Z$78,SMALL(IF($Z$7:$Z$78&lt;&gt;"",IF($W$7:$W$78&lt;&gt;"",ROW($W$7:$W$78)-MIN(ROW($W$7:$W$78))+1,""),""),ROW()-ROW(A$80)+1))),","),"")</f>
        <v>0</v>
      </c>
      <c r="X136">
        <f t="array" ref="X136">IFERROR(CONCATENATE(TEXT(INDEX($W$7:$W$78,SMALL(IF($Z$7:$Z$78&lt;&gt;"",IF($W$7:$W$78&lt;&gt;"",ROW($W$7:$W$78)-MIN(ROW($W$7:$W$78))+1,""),""),ROW()-ROW(A$80)+1)),"##0"),","),"")</f>
        <v>0</v>
      </c>
      <c r="Y136">
        <f t="array" ref="Y136">IFERROR(CONCATENATE((INDEX($A$7:$A$78,SMALL(IF($Z$7:$Z$78&lt;&gt;"",IF($W$7:$W$78&lt;&gt;"",ROW($W$7:$W$78)-MIN(ROW($W$7:$W$78))+1,""),""),ROW()-ROW(A$80)+1))),),"")</f>
        <v>0</v>
      </c>
    </row>
    <row r="137" spans="11:25">
      <c r="K137">
        <f t="array" ref="K137">IFERROR(CONCATENATE(TEXT(INDEX($K$7:$K$78,SMALL(IF($N$7:$N$78&lt;&gt;"",IF($K$7:$K$78&lt;&gt;"",ROW($K$7:$K$78)-MIN(ROW($K$7:$K$78))+1,""),""),ROW()-ROW(A$80)+1)),"##0"),","),"")</f>
        <v>0</v>
      </c>
      <c r="L137">
        <f t="array" ref="L137">IFERROR(CONCATENATE((INDEX($N$7:$N$78,SMALL(IF($N$7:$N$78&lt;&gt;"",IF($K$7:$K$78&lt;&gt;"",ROW($K$7:$K$78)-MIN(ROW($K$7:$K$78))+1,""),""),ROW()-ROW(A$80)+1))),","),"")</f>
        <v>0</v>
      </c>
      <c r="M137">
        <f t="array" ref="M137">IFERROR(CONCATENATE((INDEX($A$7:$A$78,SMALL(IF($N$7:$N$78&lt;&gt;"",IF($K$7:$K$78&lt;&gt;"",ROW($K$7:$K$78)-MIN(ROW($K$7:$K$78))+1,""),""),ROW()-ROW(A$80)+1))),),"")</f>
        <v>0</v>
      </c>
      <c r="Q137">
        <f t="array" ref="Q137">IFERROR(CONCATENATE((INDEX($T$7:$T$78,SMALL(IF($T$7:$T$78&lt;&gt;"",IF($Q$7:$Q$78&lt;&gt;"",ROW($Q$7:$Q$78)-MIN(ROW($Q$7:$Q$78))+1,""),""),ROW()-ROW(A$80)+1)))," "),"")</f>
        <v>0</v>
      </c>
      <c r="R137">
        <f t="array" ref="R137">IFERROR(CONCATENATE(TEXT(INDEX($Q$7:$Q$78,SMALL(IF($T$7:$T$78&lt;&gt;"",IF($Q$7:$Q$78&lt;&gt;"",ROW($Q$7:$Q$78)-MIN(ROW($Q$7:$Q$78))+1,""),""),ROW()-ROW(A$80)+1)),"##0")," "),"")</f>
        <v>0</v>
      </c>
      <c r="S137">
        <f t="array" ref="S137">IFERROR(CONCATENATE((INDEX($A$7:$A$78,SMALL(IF($T$7:$T$78&lt;&gt;"",IF($Q$7:$Q$78&lt;&gt;"",ROW($Q$7:$Q$78)-MIN(ROW($Q$7:$Q$78))+1,""),""),ROW()-ROW(A$80)+1))),),"")</f>
        <v>0</v>
      </c>
      <c r="W137">
        <f t="array" ref="W137">IFERROR(CONCATENATE((INDEX($Z$7:$Z$78,SMALL(IF($Z$7:$Z$78&lt;&gt;"",IF($W$7:$W$78&lt;&gt;"",ROW($W$7:$W$78)-MIN(ROW($W$7:$W$78))+1,""),""),ROW()-ROW(A$80)+1))),","),"")</f>
        <v>0</v>
      </c>
      <c r="X137">
        <f t="array" ref="X137">IFERROR(CONCATENATE(TEXT(INDEX($W$7:$W$78,SMALL(IF($Z$7:$Z$78&lt;&gt;"",IF($W$7:$W$78&lt;&gt;"",ROW($W$7:$W$78)-MIN(ROW($W$7:$W$78))+1,""),""),ROW()-ROW(A$80)+1)),"##0"),","),"")</f>
        <v>0</v>
      </c>
      <c r="Y137">
        <f t="array" ref="Y137">IFERROR(CONCATENATE((INDEX($A$7:$A$78,SMALL(IF($Z$7:$Z$78&lt;&gt;"",IF($W$7:$W$78&lt;&gt;"",ROW($W$7:$W$78)-MIN(ROW($W$7:$W$78))+1,""),""),ROW()-ROW(A$80)+1))),),"")</f>
        <v>0</v>
      </c>
    </row>
    <row r="138" spans="11:25">
      <c r="K138">
        <f t="array" ref="K138">IFERROR(CONCATENATE(TEXT(INDEX($K$7:$K$78,SMALL(IF($N$7:$N$78&lt;&gt;"",IF($K$7:$K$78&lt;&gt;"",ROW($K$7:$K$78)-MIN(ROW($K$7:$K$78))+1,""),""),ROW()-ROW(A$80)+1)),"##0"),","),"")</f>
        <v>0</v>
      </c>
      <c r="L138">
        <f t="array" ref="L138">IFERROR(CONCATENATE((INDEX($N$7:$N$78,SMALL(IF($N$7:$N$78&lt;&gt;"",IF($K$7:$K$78&lt;&gt;"",ROW($K$7:$K$78)-MIN(ROW($K$7:$K$78))+1,""),""),ROW()-ROW(A$80)+1))),","),"")</f>
        <v>0</v>
      </c>
      <c r="M138">
        <f t="array" ref="M138">IFERROR(CONCATENATE((INDEX($A$7:$A$78,SMALL(IF($N$7:$N$78&lt;&gt;"",IF($K$7:$K$78&lt;&gt;"",ROW($K$7:$K$78)-MIN(ROW($K$7:$K$78))+1,""),""),ROW()-ROW(A$80)+1))),),"")</f>
        <v>0</v>
      </c>
      <c r="Q138">
        <f t="array" ref="Q138">IFERROR(CONCATENATE((INDEX($T$7:$T$78,SMALL(IF($T$7:$T$78&lt;&gt;"",IF($Q$7:$Q$78&lt;&gt;"",ROW($Q$7:$Q$78)-MIN(ROW($Q$7:$Q$78))+1,""),""),ROW()-ROW(A$80)+1)))," "),"")</f>
        <v>0</v>
      </c>
      <c r="R138">
        <f t="array" ref="R138">IFERROR(CONCATENATE(TEXT(INDEX($Q$7:$Q$78,SMALL(IF($T$7:$T$78&lt;&gt;"",IF($Q$7:$Q$78&lt;&gt;"",ROW($Q$7:$Q$78)-MIN(ROW($Q$7:$Q$78))+1,""),""),ROW()-ROW(A$80)+1)),"##0")," "),"")</f>
        <v>0</v>
      </c>
      <c r="S138">
        <f t="array" ref="S138">IFERROR(CONCATENATE((INDEX($A$7:$A$78,SMALL(IF($T$7:$T$78&lt;&gt;"",IF($Q$7:$Q$78&lt;&gt;"",ROW($Q$7:$Q$78)-MIN(ROW($Q$7:$Q$78))+1,""),""),ROW()-ROW(A$80)+1))),),"")</f>
        <v>0</v>
      </c>
      <c r="W138">
        <f t="array" ref="W138">IFERROR(CONCATENATE((INDEX($Z$7:$Z$78,SMALL(IF($Z$7:$Z$78&lt;&gt;"",IF($W$7:$W$78&lt;&gt;"",ROW($W$7:$W$78)-MIN(ROW($W$7:$W$78))+1,""),""),ROW()-ROW(A$80)+1))),","),"")</f>
        <v>0</v>
      </c>
      <c r="X138">
        <f t="array" ref="X138">IFERROR(CONCATENATE(TEXT(INDEX($W$7:$W$78,SMALL(IF($Z$7:$Z$78&lt;&gt;"",IF($W$7:$W$78&lt;&gt;"",ROW($W$7:$W$78)-MIN(ROW($W$7:$W$78))+1,""),""),ROW()-ROW(A$80)+1)),"##0"),","),"")</f>
        <v>0</v>
      </c>
      <c r="Y138">
        <f t="array" ref="Y138">IFERROR(CONCATENATE((INDEX($A$7:$A$78,SMALL(IF($Z$7:$Z$78&lt;&gt;"",IF($W$7:$W$78&lt;&gt;"",ROW($W$7:$W$78)-MIN(ROW($W$7:$W$78))+1,""),""),ROW()-ROW(A$80)+1))),),"")</f>
        <v>0</v>
      </c>
    </row>
    <row r="139" spans="11:25">
      <c r="K139">
        <f t="array" ref="K139">IFERROR(CONCATENATE(TEXT(INDEX($K$7:$K$78,SMALL(IF($N$7:$N$78&lt;&gt;"",IF($K$7:$K$78&lt;&gt;"",ROW($K$7:$K$78)-MIN(ROW($K$7:$K$78))+1,""),""),ROW()-ROW(A$80)+1)),"##0"),","),"")</f>
        <v>0</v>
      </c>
      <c r="L139">
        <f t="array" ref="L139">IFERROR(CONCATENATE((INDEX($N$7:$N$78,SMALL(IF($N$7:$N$78&lt;&gt;"",IF($K$7:$K$78&lt;&gt;"",ROW($K$7:$K$78)-MIN(ROW($K$7:$K$78))+1,""),""),ROW()-ROW(A$80)+1))),","),"")</f>
        <v>0</v>
      </c>
      <c r="M139">
        <f t="array" ref="M139">IFERROR(CONCATENATE((INDEX($A$7:$A$78,SMALL(IF($N$7:$N$78&lt;&gt;"",IF($K$7:$K$78&lt;&gt;"",ROW($K$7:$K$78)-MIN(ROW($K$7:$K$78))+1,""),""),ROW()-ROW(A$80)+1))),),"")</f>
        <v>0</v>
      </c>
      <c r="Q139">
        <f t="array" ref="Q139">IFERROR(CONCATENATE((INDEX($T$7:$T$78,SMALL(IF($T$7:$T$78&lt;&gt;"",IF($Q$7:$Q$78&lt;&gt;"",ROW($Q$7:$Q$78)-MIN(ROW($Q$7:$Q$78))+1,""),""),ROW()-ROW(A$80)+1)))," "),"")</f>
        <v>0</v>
      </c>
      <c r="R139">
        <f t="array" ref="R139">IFERROR(CONCATENATE(TEXT(INDEX($Q$7:$Q$78,SMALL(IF($T$7:$T$78&lt;&gt;"",IF($Q$7:$Q$78&lt;&gt;"",ROW($Q$7:$Q$78)-MIN(ROW($Q$7:$Q$78))+1,""),""),ROW()-ROW(A$80)+1)),"##0")," "),"")</f>
        <v>0</v>
      </c>
      <c r="S139">
        <f t="array" ref="S139">IFERROR(CONCATENATE((INDEX($A$7:$A$78,SMALL(IF($T$7:$T$78&lt;&gt;"",IF($Q$7:$Q$78&lt;&gt;"",ROW($Q$7:$Q$78)-MIN(ROW($Q$7:$Q$78))+1,""),""),ROW()-ROW(A$80)+1))),),"")</f>
        <v>0</v>
      </c>
      <c r="W139">
        <f t="array" ref="W139">IFERROR(CONCATENATE((INDEX($Z$7:$Z$78,SMALL(IF($Z$7:$Z$78&lt;&gt;"",IF($W$7:$W$78&lt;&gt;"",ROW($W$7:$W$78)-MIN(ROW($W$7:$W$78))+1,""),""),ROW()-ROW(A$80)+1))),","),"")</f>
        <v>0</v>
      </c>
      <c r="X139">
        <f t="array" ref="X139">IFERROR(CONCATENATE(TEXT(INDEX($W$7:$W$78,SMALL(IF($Z$7:$Z$78&lt;&gt;"",IF($W$7:$W$78&lt;&gt;"",ROW($W$7:$W$78)-MIN(ROW($W$7:$W$78))+1,""),""),ROW()-ROW(A$80)+1)),"##0"),","),"")</f>
        <v>0</v>
      </c>
      <c r="Y139">
        <f t="array" ref="Y139">IFERROR(CONCATENATE((INDEX($A$7:$A$78,SMALL(IF($Z$7:$Z$78&lt;&gt;"",IF($W$7:$W$78&lt;&gt;"",ROW($W$7:$W$78)-MIN(ROW($W$7:$W$78))+1,""),""),ROW()-ROW(A$80)+1))),),"")</f>
        <v>0</v>
      </c>
    </row>
    <row r="140" spans="11:25">
      <c r="K140">
        <f t="array" ref="K140">IFERROR(CONCATENATE(TEXT(INDEX($K$7:$K$78,SMALL(IF($N$7:$N$78&lt;&gt;"",IF($K$7:$K$78&lt;&gt;"",ROW($K$7:$K$78)-MIN(ROW($K$7:$K$78))+1,""),""),ROW()-ROW(A$80)+1)),"##0"),","),"")</f>
        <v>0</v>
      </c>
      <c r="L140">
        <f t="array" ref="L140">IFERROR(CONCATENATE((INDEX($N$7:$N$78,SMALL(IF($N$7:$N$78&lt;&gt;"",IF($K$7:$K$78&lt;&gt;"",ROW($K$7:$K$78)-MIN(ROW($K$7:$K$78))+1,""),""),ROW()-ROW(A$80)+1))),","),"")</f>
        <v>0</v>
      </c>
      <c r="M140">
        <f t="array" ref="M140">IFERROR(CONCATENATE((INDEX($A$7:$A$78,SMALL(IF($N$7:$N$78&lt;&gt;"",IF($K$7:$K$78&lt;&gt;"",ROW($K$7:$K$78)-MIN(ROW($K$7:$K$78))+1,""),""),ROW()-ROW(A$80)+1))),),"")</f>
        <v>0</v>
      </c>
      <c r="Q140">
        <f t="array" ref="Q140">IFERROR(CONCATENATE((INDEX($T$7:$T$78,SMALL(IF($T$7:$T$78&lt;&gt;"",IF($Q$7:$Q$78&lt;&gt;"",ROW($Q$7:$Q$78)-MIN(ROW($Q$7:$Q$78))+1,""),""),ROW()-ROW(A$80)+1)))," "),"")</f>
        <v>0</v>
      </c>
      <c r="R140">
        <f t="array" ref="R140">IFERROR(CONCATENATE(TEXT(INDEX($Q$7:$Q$78,SMALL(IF($T$7:$T$78&lt;&gt;"",IF($Q$7:$Q$78&lt;&gt;"",ROW($Q$7:$Q$78)-MIN(ROW($Q$7:$Q$78))+1,""),""),ROW()-ROW(A$80)+1)),"##0")," "),"")</f>
        <v>0</v>
      </c>
      <c r="S140">
        <f t="array" ref="S140">IFERROR(CONCATENATE((INDEX($A$7:$A$78,SMALL(IF($T$7:$T$78&lt;&gt;"",IF($Q$7:$Q$78&lt;&gt;"",ROW($Q$7:$Q$78)-MIN(ROW($Q$7:$Q$78))+1,""),""),ROW()-ROW(A$80)+1))),),"")</f>
        <v>0</v>
      </c>
      <c r="W140">
        <f t="array" ref="W140">IFERROR(CONCATENATE((INDEX($Z$7:$Z$78,SMALL(IF($Z$7:$Z$78&lt;&gt;"",IF($W$7:$W$78&lt;&gt;"",ROW($W$7:$W$78)-MIN(ROW($W$7:$W$78))+1,""),""),ROW()-ROW(A$80)+1))),","),"")</f>
        <v>0</v>
      </c>
      <c r="X140">
        <f t="array" ref="X140">IFERROR(CONCATENATE(TEXT(INDEX($W$7:$W$78,SMALL(IF($Z$7:$Z$78&lt;&gt;"",IF($W$7:$W$78&lt;&gt;"",ROW($W$7:$W$78)-MIN(ROW($W$7:$W$78))+1,""),""),ROW()-ROW(A$80)+1)),"##0"),","),"")</f>
        <v>0</v>
      </c>
      <c r="Y140">
        <f t="array" ref="Y140">IFERROR(CONCATENATE((INDEX($A$7:$A$78,SMALL(IF($Z$7:$Z$78&lt;&gt;"",IF($W$7:$W$78&lt;&gt;"",ROW($W$7:$W$78)-MIN(ROW($W$7:$W$78))+1,""),""),ROW()-ROW(A$80)+1))),),"")</f>
        <v>0</v>
      </c>
    </row>
    <row r="141" spans="11:25">
      <c r="K141">
        <f t="array" ref="K141">IFERROR(CONCATENATE(TEXT(INDEX($K$7:$K$78,SMALL(IF($N$7:$N$78&lt;&gt;"",IF($K$7:$K$78&lt;&gt;"",ROW($K$7:$K$78)-MIN(ROW($K$7:$K$78))+1,""),""),ROW()-ROW(A$80)+1)),"##0"),","),"")</f>
        <v>0</v>
      </c>
      <c r="L141">
        <f t="array" ref="L141">IFERROR(CONCATENATE((INDEX($N$7:$N$78,SMALL(IF($N$7:$N$78&lt;&gt;"",IF($K$7:$K$78&lt;&gt;"",ROW($K$7:$K$78)-MIN(ROW($K$7:$K$78))+1,""),""),ROW()-ROW(A$80)+1))),","),"")</f>
        <v>0</v>
      </c>
      <c r="M141">
        <f t="array" ref="M141">IFERROR(CONCATENATE((INDEX($A$7:$A$78,SMALL(IF($N$7:$N$78&lt;&gt;"",IF($K$7:$K$78&lt;&gt;"",ROW($K$7:$K$78)-MIN(ROW($K$7:$K$78))+1,""),""),ROW()-ROW(A$80)+1))),),"")</f>
        <v>0</v>
      </c>
      <c r="Q141">
        <f t="array" ref="Q141">IFERROR(CONCATENATE((INDEX($T$7:$T$78,SMALL(IF($T$7:$T$78&lt;&gt;"",IF($Q$7:$Q$78&lt;&gt;"",ROW($Q$7:$Q$78)-MIN(ROW($Q$7:$Q$78))+1,""),""),ROW()-ROW(A$80)+1)))," "),"")</f>
        <v>0</v>
      </c>
      <c r="R141">
        <f t="array" ref="R141">IFERROR(CONCATENATE(TEXT(INDEX($Q$7:$Q$78,SMALL(IF($T$7:$T$78&lt;&gt;"",IF($Q$7:$Q$78&lt;&gt;"",ROW($Q$7:$Q$78)-MIN(ROW($Q$7:$Q$78))+1,""),""),ROW()-ROW(A$80)+1)),"##0")," "),"")</f>
        <v>0</v>
      </c>
      <c r="S141">
        <f t="array" ref="S141">IFERROR(CONCATENATE((INDEX($A$7:$A$78,SMALL(IF($T$7:$T$78&lt;&gt;"",IF($Q$7:$Q$78&lt;&gt;"",ROW($Q$7:$Q$78)-MIN(ROW($Q$7:$Q$78))+1,""),""),ROW()-ROW(A$80)+1))),),"")</f>
        <v>0</v>
      </c>
      <c r="W141">
        <f t="array" ref="W141">IFERROR(CONCATENATE((INDEX($Z$7:$Z$78,SMALL(IF($Z$7:$Z$78&lt;&gt;"",IF($W$7:$W$78&lt;&gt;"",ROW($W$7:$W$78)-MIN(ROW($W$7:$W$78))+1,""),""),ROW()-ROW(A$80)+1))),","),"")</f>
        <v>0</v>
      </c>
      <c r="X141">
        <f t="array" ref="X141">IFERROR(CONCATENATE(TEXT(INDEX($W$7:$W$78,SMALL(IF($Z$7:$Z$78&lt;&gt;"",IF($W$7:$W$78&lt;&gt;"",ROW($W$7:$W$78)-MIN(ROW($W$7:$W$78))+1,""),""),ROW()-ROW(A$80)+1)),"##0"),","),"")</f>
        <v>0</v>
      </c>
      <c r="Y141">
        <f t="array" ref="Y141">IFERROR(CONCATENATE((INDEX($A$7:$A$78,SMALL(IF($Z$7:$Z$78&lt;&gt;"",IF($W$7:$W$78&lt;&gt;"",ROW($W$7:$W$78)-MIN(ROW($W$7:$W$78))+1,""),""),ROW()-ROW(A$80)+1))),),"")</f>
        <v>0</v>
      </c>
    </row>
    <row r="142" spans="11:25">
      <c r="K142">
        <f t="array" ref="K142">IFERROR(CONCATENATE(TEXT(INDEX($K$7:$K$78,SMALL(IF($N$7:$N$78&lt;&gt;"",IF($K$7:$K$78&lt;&gt;"",ROW($K$7:$K$78)-MIN(ROW($K$7:$K$78))+1,""),""),ROW()-ROW(A$80)+1)),"##0"),","),"")</f>
        <v>0</v>
      </c>
      <c r="L142">
        <f t="array" ref="L142">IFERROR(CONCATENATE((INDEX($N$7:$N$78,SMALL(IF($N$7:$N$78&lt;&gt;"",IF($K$7:$K$78&lt;&gt;"",ROW($K$7:$K$78)-MIN(ROW($K$7:$K$78))+1,""),""),ROW()-ROW(A$80)+1))),","),"")</f>
        <v>0</v>
      </c>
      <c r="M142">
        <f t="array" ref="M142">IFERROR(CONCATENATE((INDEX($A$7:$A$78,SMALL(IF($N$7:$N$78&lt;&gt;"",IF($K$7:$K$78&lt;&gt;"",ROW($K$7:$K$78)-MIN(ROW($K$7:$K$78))+1,""),""),ROW()-ROW(A$80)+1))),),"")</f>
        <v>0</v>
      </c>
      <c r="Q142">
        <f t="array" ref="Q142">IFERROR(CONCATENATE((INDEX($T$7:$T$78,SMALL(IF($T$7:$T$78&lt;&gt;"",IF($Q$7:$Q$78&lt;&gt;"",ROW($Q$7:$Q$78)-MIN(ROW($Q$7:$Q$78))+1,""),""),ROW()-ROW(A$80)+1)))," "),"")</f>
        <v>0</v>
      </c>
      <c r="R142">
        <f t="array" ref="R142">IFERROR(CONCATENATE(TEXT(INDEX($Q$7:$Q$78,SMALL(IF($T$7:$T$78&lt;&gt;"",IF($Q$7:$Q$78&lt;&gt;"",ROW($Q$7:$Q$78)-MIN(ROW($Q$7:$Q$78))+1,""),""),ROW()-ROW(A$80)+1)),"##0")," "),"")</f>
        <v>0</v>
      </c>
      <c r="S142">
        <f t="array" ref="S142">IFERROR(CONCATENATE((INDEX($A$7:$A$78,SMALL(IF($T$7:$T$78&lt;&gt;"",IF($Q$7:$Q$78&lt;&gt;"",ROW($Q$7:$Q$78)-MIN(ROW($Q$7:$Q$78))+1,""),""),ROW()-ROW(A$80)+1))),),"")</f>
        <v>0</v>
      </c>
      <c r="W142">
        <f t="array" ref="W142">IFERROR(CONCATENATE((INDEX($Z$7:$Z$78,SMALL(IF($Z$7:$Z$78&lt;&gt;"",IF($W$7:$W$78&lt;&gt;"",ROW($W$7:$W$78)-MIN(ROW($W$7:$W$78))+1,""),""),ROW()-ROW(A$80)+1))),","),"")</f>
        <v>0</v>
      </c>
      <c r="X142">
        <f t="array" ref="X142">IFERROR(CONCATENATE(TEXT(INDEX($W$7:$W$78,SMALL(IF($Z$7:$Z$78&lt;&gt;"",IF($W$7:$W$78&lt;&gt;"",ROW($W$7:$W$78)-MIN(ROW($W$7:$W$78))+1,""),""),ROW()-ROW(A$80)+1)),"##0"),","),"")</f>
        <v>0</v>
      </c>
      <c r="Y142">
        <f t="array" ref="Y142">IFERROR(CONCATENATE((INDEX($A$7:$A$78,SMALL(IF($Z$7:$Z$78&lt;&gt;"",IF($W$7:$W$78&lt;&gt;"",ROW($W$7:$W$78)-MIN(ROW($W$7:$W$78))+1,""),""),ROW()-ROW(A$80)+1))),),"")</f>
        <v>0</v>
      </c>
    </row>
    <row r="143" spans="11:25">
      <c r="K143">
        <f t="array" ref="K143">IFERROR(CONCATENATE(TEXT(INDEX($K$7:$K$78,SMALL(IF($N$7:$N$78&lt;&gt;"",IF($K$7:$K$78&lt;&gt;"",ROW($K$7:$K$78)-MIN(ROW($K$7:$K$78))+1,""),""),ROW()-ROW(A$80)+1)),"##0"),","),"")</f>
        <v>0</v>
      </c>
      <c r="L143">
        <f t="array" ref="L143">IFERROR(CONCATENATE((INDEX($N$7:$N$78,SMALL(IF($N$7:$N$78&lt;&gt;"",IF($K$7:$K$78&lt;&gt;"",ROW($K$7:$K$78)-MIN(ROW($K$7:$K$78))+1,""),""),ROW()-ROW(A$80)+1))),","),"")</f>
        <v>0</v>
      </c>
      <c r="M143">
        <f t="array" ref="M143">IFERROR(CONCATENATE((INDEX($A$7:$A$78,SMALL(IF($N$7:$N$78&lt;&gt;"",IF($K$7:$K$78&lt;&gt;"",ROW($K$7:$K$78)-MIN(ROW($K$7:$K$78))+1,""),""),ROW()-ROW(A$80)+1))),),"")</f>
        <v>0</v>
      </c>
      <c r="Q143">
        <f t="array" ref="Q143">IFERROR(CONCATENATE((INDEX($T$7:$T$78,SMALL(IF($T$7:$T$78&lt;&gt;"",IF($Q$7:$Q$78&lt;&gt;"",ROW($Q$7:$Q$78)-MIN(ROW($Q$7:$Q$78))+1,""),""),ROW()-ROW(A$80)+1)))," "),"")</f>
        <v>0</v>
      </c>
      <c r="R143">
        <f t="array" ref="R143">IFERROR(CONCATENATE(TEXT(INDEX($Q$7:$Q$78,SMALL(IF($T$7:$T$78&lt;&gt;"",IF($Q$7:$Q$78&lt;&gt;"",ROW($Q$7:$Q$78)-MIN(ROW($Q$7:$Q$78))+1,""),""),ROW()-ROW(A$80)+1)),"##0")," "),"")</f>
        <v>0</v>
      </c>
      <c r="S143">
        <f t="array" ref="S143">IFERROR(CONCATENATE((INDEX($A$7:$A$78,SMALL(IF($T$7:$T$78&lt;&gt;"",IF($Q$7:$Q$78&lt;&gt;"",ROW($Q$7:$Q$78)-MIN(ROW($Q$7:$Q$78))+1,""),""),ROW()-ROW(A$80)+1))),),"")</f>
        <v>0</v>
      </c>
      <c r="W143">
        <f t="array" ref="W143">IFERROR(CONCATENATE((INDEX($Z$7:$Z$78,SMALL(IF($Z$7:$Z$78&lt;&gt;"",IF($W$7:$W$78&lt;&gt;"",ROW($W$7:$W$78)-MIN(ROW($W$7:$W$78))+1,""),""),ROW()-ROW(A$80)+1))),","),"")</f>
        <v>0</v>
      </c>
      <c r="X143">
        <f t="array" ref="X143">IFERROR(CONCATENATE(TEXT(INDEX($W$7:$W$78,SMALL(IF($Z$7:$Z$78&lt;&gt;"",IF($W$7:$W$78&lt;&gt;"",ROW($W$7:$W$78)-MIN(ROW($W$7:$W$78))+1,""),""),ROW()-ROW(A$80)+1)),"##0"),","),"")</f>
        <v>0</v>
      </c>
      <c r="Y143">
        <f t="array" ref="Y143">IFERROR(CONCATENATE((INDEX($A$7:$A$78,SMALL(IF($Z$7:$Z$78&lt;&gt;"",IF($W$7:$W$78&lt;&gt;"",ROW($W$7:$W$78)-MIN(ROW($W$7:$W$78))+1,""),""),ROW()-ROW(A$80)+1))),),"")</f>
        <v>0</v>
      </c>
    </row>
    <row r="144" spans="11:25">
      <c r="K144">
        <f t="array" ref="K144">IFERROR(CONCATENATE(TEXT(INDEX($K$7:$K$78,SMALL(IF($N$7:$N$78&lt;&gt;"",IF($K$7:$K$78&lt;&gt;"",ROW($K$7:$K$78)-MIN(ROW($K$7:$K$78))+1,""),""),ROW()-ROW(A$80)+1)),"##0"),","),"")</f>
        <v>0</v>
      </c>
      <c r="L144">
        <f t="array" ref="L144">IFERROR(CONCATENATE((INDEX($N$7:$N$78,SMALL(IF($N$7:$N$78&lt;&gt;"",IF($K$7:$K$78&lt;&gt;"",ROW($K$7:$K$78)-MIN(ROW($K$7:$K$78))+1,""),""),ROW()-ROW(A$80)+1))),","),"")</f>
        <v>0</v>
      </c>
      <c r="M144">
        <f t="array" ref="M144">IFERROR(CONCATENATE((INDEX($A$7:$A$78,SMALL(IF($N$7:$N$78&lt;&gt;"",IF($K$7:$K$78&lt;&gt;"",ROW($K$7:$K$78)-MIN(ROW($K$7:$K$78))+1,""),""),ROW()-ROW(A$80)+1))),),"")</f>
        <v>0</v>
      </c>
      <c r="Q144">
        <f t="array" ref="Q144">IFERROR(CONCATENATE((INDEX($T$7:$T$78,SMALL(IF($T$7:$T$78&lt;&gt;"",IF($Q$7:$Q$78&lt;&gt;"",ROW($Q$7:$Q$78)-MIN(ROW($Q$7:$Q$78))+1,""),""),ROW()-ROW(A$80)+1)))," "),"")</f>
        <v>0</v>
      </c>
      <c r="R144">
        <f t="array" ref="R144">IFERROR(CONCATENATE(TEXT(INDEX($Q$7:$Q$78,SMALL(IF($T$7:$T$78&lt;&gt;"",IF($Q$7:$Q$78&lt;&gt;"",ROW($Q$7:$Q$78)-MIN(ROW($Q$7:$Q$78))+1,""),""),ROW()-ROW(A$80)+1)),"##0")," "),"")</f>
        <v>0</v>
      </c>
      <c r="S144">
        <f t="array" ref="S144">IFERROR(CONCATENATE((INDEX($A$7:$A$78,SMALL(IF($T$7:$T$78&lt;&gt;"",IF($Q$7:$Q$78&lt;&gt;"",ROW($Q$7:$Q$78)-MIN(ROW($Q$7:$Q$78))+1,""),""),ROW()-ROW(A$80)+1))),),"")</f>
        <v>0</v>
      </c>
      <c r="W144">
        <f t="array" ref="W144">IFERROR(CONCATENATE((INDEX($Z$7:$Z$78,SMALL(IF($Z$7:$Z$78&lt;&gt;"",IF($W$7:$W$78&lt;&gt;"",ROW($W$7:$W$78)-MIN(ROW($W$7:$W$78))+1,""),""),ROW()-ROW(A$80)+1))),","),"")</f>
        <v>0</v>
      </c>
      <c r="X144">
        <f t="array" ref="X144">IFERROR(CONCATENATE(TEXT(INDEX($W$7:$W$78,SMALL(IF($Z$7:$Z$78&lt;&gt;"",IF($W$7:$W$78&lt;&gt;"",ROW($W$7:$W$78)-MIN(ROW($W$7:$W$78))+1,""),""),ROW()-ROW(A$80)+1)),"##0"),","),"")</f>
        <v>0</v>
      </c>
      <c r="Y144">
        <f t="array" ref="Y144">IFERROR(CONCATENATE((INDEX($A$7:$A$78,SMALL(IF($Z$7:$Z$78&lt;&gt;"",IF($W$7:$W$78&lt;&gt;"",ROW($W$7:$W$78)-MIN(ROW($W$7:$W$78))+1,""),""),ROW()-ROW(A$80)+1))),),"")</f>
        <v>0</v>
      </c>
    </row>
    <row r="145" spans="11:25">
      <c r="K145">
        <f t="array" ref="K145">IFERROR(CONCATENATE(TEXT(INDEX($K$7:$K$78,SMALL(IF($N$7:$N$78&lt;&gt;"",IF($K$7:$K$78&lt;&gt;"",ROW($K$7:$K$78)-MIN(ROW($K$7:$K$78))+1,""),""),ROW()-ROW(A$80)+1)),"##0"),","),"")</f>
        <v>0</v>
      </c>
      <c r="L145">
        <f t="array" ref="L145">IFERROR(CONCATENATE((INDEX($N$7:$N$78,SMALL(IF($N$7:$N$78&lt;&gt;"",IF($K$7:$K$78&lt;&gt;"",ROW($K$7:$K$78)-MIN(ROW($K$7:$K$78))+1,""),""),ROW()-ROW(A$80)+1))),","),"")</f>
        <v>0</v>
      </c>
      <c r="M145">
        <f t="array" ref="M145">IFERROR(CONCATENATE((INDEX($A$7:$A$78,SMALL(IF($N$7:$N$78&lt;&gt;"",IF($K$7:$K$78&lt;&gt;"",ROW($K$7:$K$78)-MIN(ROW($K$7:$K$78))+1,""),""),ROW()-ROW(A$80)+1))),),"")</f>
        <v>0</v>
      </c>
      <c r="Q145">
        <f t="array" ref="Q145">IFERROR(CONCATENATE((INDEX($T$7:$T$78,SMALL(IF($T$7:$T$78&lt;&gt;"",IF($Q$7:$Q$78&lt;&gt;"",ROW($Q$7:$Q$78)-MIN(ROW($Q$7:$Q$78))+1,""),""),ROW()-ROW(A$80)+1)))," "),"")</f>
        <v>0</v>
      </c>
      <c r="R145">
        <f t="array" ref="R145">IFERROR(CONCATENATE(TEXT(INDEX($Q$7:$Q$78,SMALL(IF($T$7:$T$78&lt;&gt;"",IF($Q$7:$Q$78&lt;&gt;"",ROW($Q$7:$Q$78)-MIN(ROW($Q$7:$Q$78))+1,""),""),ROW()-ROW(A$80)+1)),"##0")," "),"")</f>
        <v>0</v>
      </c>
      <c r="S145">
        <f t="array" ref="S145">IFERROR(CONCATENATE((INDEX($A$7:$A$78,SMALL(IF($T$7:$T$78&lt;&gt;"",IF($Q$7:$Q$78&lt;&gt;"",ROW($Q$7:$Q$78)-MIN(ROW($Q$7:$Q$78))+1,""),""),ROW()-ROW(A$80)+1))),),"")</f>
        <v>0</v>
      </c>
      <c r="W145">
        <f t="array" ref="W145">IFERROR(CONCATENATE((INDEX($Z$7:$Z$78,SMALL(IF($Z$7:$Z$78&lt;&gt;"",IF($W$7:$W$78&lt;&gt;"",ROW($W$7:$W$78)-MIN(ROW($W$7:$W$78))+1,""),""),ROW()-ROW(A$80)+1))),","),"")</f>
        <v>0</v>
      </c>
      <c r="X145">
        <f t="array" ref="X145">IFERROR(CONCATENATE(TEXT(INDEX($W$7:$W$78,SMALL(IF($Z$7:$Z$78&lt;&gt;"",IF($W$7:$W$78&lt;&gt;"",ROW($W$7:$W$78)-MIN(ROW($W$7:$W$78))+1,""),""),ROW()-ROW(A$80)+1)),"##0"),","),"")</f>
        <v>0</v>
      </c>
      <c r="Y145">
        <f t="array" ref="Y145">IFERROR(CONCATENATE((INDEX($A$7:$A$78,SMALL(IF($Z$7:$Z$78&lt;&gt;"",IF($W$7:$W$78&lt;&gt;"",ROW($W$7:$W$78)-MIN(ROW($W$7:$W$78))+1,""),""),ROW()-ROW(A$80)+1))),),"")</f>
        <v>0</v>
      </c>
    </row>
    <row r="146" spans="11:25">
      <c r="K146">
        <f t="array" ref="K146">IFERROR(CONCATENATE(TEXT(INDEX($K$7:$K$78,SMALL(IF($N$7:$N$78&lt;&gt;"",IF($K$7:$K$78&lt;&gt;"",ROW($K$7:$K$78)-MIN(ROW($K$7:$K$78))+1,""),""),ROW()-ROW(A$80)+1)),"##0"),","),"")</f>
        <v>0</v>
      </c>
      <c r="L146">
        <f t="array" ref="L146">IFERROR(CONCATENATE((INDEX($N$7:$N$78,SMALL(IF($N$7:$N$78&lt;&gt;"",IF($K$7:$K$78&lt;&gt;"",ROW($K$7:$K$78)-MIN(ROW($K$7:$K$78))+1,""),""),ROW()-ROW(A$80)+1))),","),"")</f>
        <v>0</v>
      </c>
      <c r="M146">
        <f t="array" ref="M146">IFERROR(CONCATENATE((INDEX($A$7:$A$78,SMALL(IF($N$7:$N$78&lt;&gt;"",IF($K$7:$K$78&lt;&gt;"",ROW($K$7:$K$78)-MIN(ROW($K$7:$K$78))+1,""),""),ROW()-ROW(A$80)+1))),),"")</f>
        <v>0</v>
      </c>
      <c r="Q146">
        <f t="array" ref="Q146">IFERROR(CONCATENATE((INDEX($T$7:$T$78,SMALL(IF($T$7:$T$78&lt;&gt;"",IF($Q$7:$Q$78&lt;&gt;"",ROW($Q$7:$Q$78)-MIN(ROW($Q$7:$Q$78))+1,""),""),ROW()-ROW(A$80)+1)))," "),"")</f>
        <v>0</v>
      </c>
      <c r="R146">
        <f t="array" ref="R146">IFERROR(CONCATENATE(TEXT(INDEX($Q$7:$Q$78,SMALL(IF($T$7:$T$78&lt;&gt;"",IF($Q$7:$Q$78&lt;&gt;"",ROW($Q$7:$Q$78)-MIN(ROW($Q$7:$Q$78))+1,""),""),ROW()-ROW(A$80)+1)),"##0")," "),"")</f>
        <v>0</v>
      </c>
      <c r="S146">
        <f t="array" ref="S146">IFERROR(CONCATENATE((INDEX($A$7:$A$78,SMALL(IF($T$7:$T$78&lt;&gt;"",IF($Q$7:$Q$78&lt;&gt;"",ROW($Q$7:$Q$78)-MIN(ROW($Q$7:$Q$78))+1,""),""),ROW()-ROW(A$80)+1))),),"")</f>
        <v>0</v>
      </c>
      <c r="W146">
        <f t="array" ref="W146">IFERROR(CONCATENATE((INDEX($Z$7:$Z$78,SMALL(IF($Z$7:$Z$78&lt;&gt;"",IF($W$7:$W$78&lt;&gt;"",ROW($W$7:$W$78)-MIN(ROW($W$7:$W$78))+1,""),""),ROW()-ROW(A$80)+1))),","),"")</f>
        <v>0</v>
      </c>
      <c r="X146">
        <f t="array" ref="X146">IFERROR(CONCATENATE(TEXT(INDEX($W$7:$W$78,SMALL(IF($Z$7:$Z$78&lt;&gt;"",IF($W$7:$W$78&lt;&gt;"",ROW($W$7:$W$78)-MIN(ROW($W$7:$W$78))+1,""),""),ROW()-ROW(A$80)+1)),"##0"),","),"")</f>
        <v>0</v>
      </c>
      <c r="Y146">
        <f t="array" ref="Y146">IFERROR(CONCATENATE((INDEX($A$7:$A$78,SMALL(IF($Z$7:$Z$78&lt;&gt;"",IF($W$7:$W$78&lt;&gt;"",ROW($W$7:$W$78)-MIN(ROW($W$7:$W$78))+1,""),""),ROW()-ROW(A$80)+1))),),"")</f>
        <v>0</v>
      </c>
    </row>
    <row r="147" spans="11:25">
      <c r="K147">
        <f t="array" ref="K147">IFERROR(CONCATENATE(TEXT(INDEX($K$7:$K$78,SMALL(IF($N$7:$N$78&lt;&gt;"",IF($K$7:$K$78&lt;&gt;"",ROW($K$7:$K$78)-MIN(ROW($K$7:$K$78))+1,""),""),ROW()-ROW(A$80)+1)),"##0"),","),"")</f>
        <v>0</v>
      </c>
      <c r="L147">
        <f t="array" ref="L147">IFERROR(CONCATENATE((INDEX($N$7:$N$78,SMALL(IF($N$7:$N$78&lt;&gt;"",IF($K$7:$K$78&lt;&gt;"",ROW($K$7:$K$78)-MIN(ROW($K$7:$K$78))+1,""),""),ROW()-ROW(A$80)+1))),","),"")</f>
        <v>0</v>
      </c>
      <c r="M147">
        <f t="array" ref="M147">IFERROR(CONCATENATE((INDEX($A$7:$A$78,SMALL(IF($N$7:$N$78&lt;&gt;"",IF($K$7:$K$78&lt;&gt;"",ROW($K$7:$K$78)-MIN(ROW($K$7:$K$78))+1,""),""),ROW()-ROW(A$80)+1))),),"")</f>
        <v>0</v>
      </c>
      <c r="Q147">
        <f t="array" ref="Q147">IFERROR(CONCATENATE((INDEX($T$7:$T$78,SMALL(IF($T$7:$T$78&lt;&gt;"",IF($Q$7:$Q$78&lt;&gt;"",ROW($Q$7:$Q$78)-MIN(ROW($Q$7:$Q$78))+1,""),""),ROW()-ROW(A$80)+1)))," "),"")</f>
        <v>0</v>
      </c>
      <c r="R147">
        <f t="array" ref="R147">IFERROR(CONCATENATE(TEXT(INDEX($Q$7:$Q$78,SMALL(IF($T$7:$T$78&lt;&gt;"",IF($Q$7:$Q$78&lt;&gt;"",ROW($Q$7:$Q$78)-MIN(ROW($Q$7:$Q$78))+1,""),""),ROW()-ROW(A$80)+1)),"##0")," "),"")</f>
        <v>0</v>
      </c>
      <c r="S147">
        <f t="array" ref="S147">IFERROR(CONCATENATE((INDEX($A$7:$A$78,SMALL(IF($T$7:$T$78&lt;&gt;"",IF($Q$7:$Q$78&lt;&gt;"",ROW($Q$7:$Q$78)-MIN(ROW($Q$7:$Q$78))+1,""),""),ROW()-ROW(A$80)+1))),),"")</f>
        <v>0</v>
      </c>
      <c r="W147">
        <f t="array" ref="W147">IFERROR(CONCATENATE((INDEX($Z$7:$Z$78,SMALL(IF($Z$7:$Z$78&lt;&gt;"",IF($W$7:$W$78&lt;&gt;"",ROW($W$7:$W$78)-MIN(ROW($W$7:$W$78))+1,""),""),ROW()-ROW(A$80)+1))),","),"")</f>
        <v>0</v>
      </c>
      <c r="X147">
        <f t="array" ref="X147">IFERROR(CONCATENATE(TEXT(INDEX($W$7:$W$78,SMALL(IF($Z$7:$Z$78&lt;&gt;"",IF($W$7:$W$78&lt;&gt;"",ROW($W$7:$W$78)-MIN(ROW($W$7:$W$78))+1,""),""),ROW()-ROW(A$80)+1)),"##0"),","),"")</f>
        <v>0</v>
      </c>
      <c r="Y147">
        <f t="array" ref="Y147">IFERROR(CONCATENATE((INDEX($A$7:$A$78,SMALL(IF($Z$7:$Z$78&lt;&gt;"",IF($W$7:$W$78&lt;&gt;"",ROW($W$7:$W$78)-MIN(ROW($W$7:$W$78))+1,""),""),ROW()-ROW(A$80)+1))),),"")</f>
        <v>0</v>
      </c>
    </row>
    <row r="148" spans="11:25">
      <c r="K148">
        <f t="array" ref="K148">IFERROR(CONCATENATE(TEXT(INDEX($K$7:$K$78,SMALL(IF($N$7:$N$78&lt;&gt;"",IF($K$7:$K$78&lt;&gt;"",ROW($K$7:$K$78)-MIN(ROW($K$7:$K$78))+1,""),""),ROW()-ROW(A$80)+1)),"##0"),","),"")</f>
        <v>0</v>
      </c>
      <c r="L148">
        <f t="array" ref="L148">IFERROR(CONCATENATE((INDEX($N$7:$N$78,SMALL(IF($N$7:$N$78&lt;&gt;"",IF($K$7:$K$78&lt;&gt;"",ROW($K$7:$K$78)-MIN(ROW($K$7:$K$78))+1,""),""),ROW()-ROW(A$80)+1))),","),"")</f>
        <v>0</v>
      </c>
      <c r="M148">
        <f t="array" ref="M148">IFERROR(CONCATENATE((INDEX($A$7:$A$78,SMALL(IF($N$7:$N$78&lt;&gt;"",IF($K$7:$K$78&lt;&gt;"",ROW($K$7:$K$78)-MIN(ROW($K$7:$K$78))+1,""),""),ROW()-ROW(A$80)+1))),),"")</f>
        <v>0</v>
      </c>
      <c r="Q148">
        <f t="array" ref="Q148">IFERROR(CONCATENATE((INDEX($T$7:$T$78,SMALL(IF($T$7:$T$78&lt;&gt;"",IF($Q$7:$Q$78&lt;&gt;"",ROW($Q$7:$Q$78)-MIN(ROW($Q$7:$Q$78))+1,""),""),ROW()-ROW(A$80)+1)))," "),"")</f>
        <v>0</v>
      </c>
      <c r="R148">
        <f t="array" ref="R148">IFERROR(CONCATENATE(TEXT(INDEX($Q$7:$Q$78,SMALL(IF($T$7:$T$78&lt;&gt;"",IF($Q$7:$Q$78&lt;&gt;"",ROW($Q$7:$Q$78)-MIN(ROW($Q$7:$Q$78))+1,""),""),ROW()-ROW(A$80)+1)),"##0")," "),"")</f>
        <v>0</v>
      </c>
      <c r="S148">
        <f t="array" ref="S148">IFERROR(CONCATENATE((INDEX($A$7:$A$78,SMALL(IF($T$7:$T$78&lt;&gt;"",IF($Q$7:$Q$78&lt;&gt;"",ROW($Q$7:$Q$78)-MIN(ROW($Q$7:$Q$78))+1,""),""),ROW()-ROW(A$80)+1))),),"")</f>
        <v>0</v>
      </c>
      <c r="W148">
        <f t="array" ref="W148">IFERROR(CONCATENATE((INDEX($Z$7:$Z$78,SMALL(IF($Z$7:$Z$78&lt;&gt;"",IF($W$7:$W$78&lt;&gt;"",ROW($W$7:$W$78)-MIN(ROW($W$7:$W$78))+1,""),""),ROW()-ROW(A$80)+1))),","),"")</f>
        <v>0</v>
      </c>
      <c r="X148">
        <f t="array" ref="X148">IFERROR(CONCATENATE(TEXT(INDEX($W$7:$W$78,SMALL(IF($Z$7:$Z$78&lt;&gt;"",IF($W$7:$W$78&lt;&gt;"",ROW($W$7:$W$78)-MIN(ROW($W$7:$W$78))+1,""),""),ROW()-ROW(A$80)+1)),"##0"),","),"")</f>
        <v>0</v>
      </c>
      <c r="Y148">
        <f t="array" ref="Y148">IFERROR(CONCATENATE((INDEX($A$7:$A$78,SMALL(IF($Z$7:$Z$78&lt;&gt;"",IF($W$7:$W$78&lt;&gt;"",ROW($W$7:$W$78)-MIN(ROW($W$7:$W$78))+1,""),""),ROW()-ROW(A$80)+1))),),"")</f>
        <v>0</v>
      </c>
    </row>
    <row r="149" spans="11:25">
      <c r="K149">
        <f t="array" ref="K149">IFERROR(CONCATENATE(TEXT(INDEX($K$7:$K$78,SMALL(IF($N$7:$N$78&lt;&gt;"",IF($K$7:$K$78&lt;&gt;"",ROW($K$7:$K$78)-MIN(ROW($K$7:$K$78))+1,""),""),ROW()-ROW(A$80)+1)),"##0"),","),"")</f>
        <v>0</v>
      </c>
      <c r="L149">
        <f t="array" ref="L149">IFERROR(CONCATENATE((INDEX($N$7:$N$78,SMALL(IF($N$7:$N$78&lt;&gt;"",IF($K$7:$K$78&lt;&gt;"",ROW($K$7:$K$78)-MIN(ROW($K$7:$K$78))+1,""),""),ROW()-ROW(A$80)+1))),","),"")</f>
        <v>0</v>
      </c>
      <c r="M149">
        <f t="array" ref="M149">IFERROR(CONCATENATE((INDEX($A$7:$A$78,SMALL(IF($N$7:$N$78&lt;&gt;"",IF($K$7:$K$78&lt;&gt;"",ROW($K$7:$K$78)-MIN(ROW($K$7:$K$78))+1,""),""),ROW()-ROW(A$80)+1))),),"")</f>
        <v>0</v>
      </c>
      <c r="Q149">
        <f t="array" ref="Q149">IFERROR(CONCATENATE((INDEX($T$7:$T$78,SMALL(IF($T$7:$T$78&lt;&gt;"",IF($Q$7:$Q$78&lt;&gt;"",ROW($Q$7:$Q$78)-MIN(ROW($Q$7:$Q$78))+1,""),""),ROW()-ROW(A$80)+1)))," "),"")</f>
        <v>0</v>
      </c>
      <c r="R149">
        <f t="array" ref="R149">IFERROR(CONCATENATE(TEXT(INDEX($Q$7:$Q$78,SMALL(IF($T$7:$T$78&lt;&gt;"",IF($Q$7:$Q$78&lt;&gt;"",ROW($Q$7:$Q$78)-MIN(ROW($Q$7:$Q$78))+1,""),""),ROW()-ROW(A$80)+1)),"##0")," "),"")</f>
        <v>0</v>
      </c>
      <c r="S149">
        <f t="array" ref="S149">IFERROR(CONCATENATE((INDEX($A$7:$A$78,SMALL(IF($T$7:$T$78&lt;&gt;"",IF($Q$7:$Q$78&lt;&gt;"",ROW($Q$7:$Q$78)-MIN(ROW($Q$7:$Q$78))+1,""),""),ROW()-ROW(A$80)+1))),),"")</f>
        <v>0</v>
      </c>
      <c r="W149">
        <f t="array" ref="W149">IFERROR(CONCATENATE((INDEX($Z$7:$Z$78,SMALL(IF($Z$7:$Z$78&lt;&gt;"",IF($W$7:$W$78&lt;&gt;"",ROW($W$7:$W$78)-MIN(ROW($W$7:$W$78))+1,""),""),ROW()-ROW(A$80)+1))),","),"")</f>
        <v>0</v>
      </c>
      <c r="X149">
        <f t="array" ref="X149">IFERROR(CONCATENATE(TEXT(INDEX($W$7:$W$78,SMALL(IF($Z$7:$Z$78&lt;&gt;"",IF($W$7:$W$78&lt;&gt;"",ROW($W$7:$W$78)-MIN(ROW($W$7:$W$78))+1,""),""),ROW()-ROW(A$80)+1)),"##0"),","),"")</f>
        <v>0</v>
      </c>
      <c r="Y149">
        <f t="array" ref="Y149">IFERROR(CONCATENATE((INDEX($A$7:$A$78,SMALL(IF($Z$7:$Z$78&lt;&gt;"",IF($W$7:$W$78&lt;&gt;"",ROW($W$7:$W$78)-MIN(ROW($W$7:$W$78))+1,""),""),ROW()-ROW(A$80)+1))),),"")</f>
        <v>0</v>
      </c>
    </row>
    <row r="150" spans="11:25">
      <c r="K150">
        <f t="array" ref="K150">IFERROR(CONCATENATE(TEXT(INDEX($K$7:$K$78,SMALL(IF($N$7:$N$78&lt;&gt;"",IF($K$7:$K$78&lt;&gt;"",ROW($K$7:$K$78)-MIN(ROW($K$7:$K$78))+1,""),""),ROW()-ROW(A$80)+1)),"##0"),","),"")</f>
        <v>0</v>
      </c>
      <c r="L150">
        <f t="array" ref="L150">IFERROR(CONCATENATE((INDEX($N$7:$N$78,SMALL(IF($N$7:$N$78&lt;&gt;"",IF($K$7:$K$78&lt;&gt;"",ROW($K$7:$K$78)-MIN(ROW($K$7:$K$78))+1,""),""),ROW()-ROW(A$80)+1))),","),"")</f>
        <v>0</v>
      </c>
      <c r="M150">
        <f t="array" ref="M150">IFERROR(CONCATENATE((INDEX($A$7:$A$78,SMALL(IF($N$7:$N$78&lt;&gt;"",IF($K$7:$K$78&lt;&gt;"",ROW($K$7:$K$78)-MIN(ROW($K$7:$K$78))+1,""),""),ROW()-ROW(A$80)+1))),),"")</f>
        <v>0</v>
      </c>
      <c r="Q150">
        <f t="array" ref="Q150">IFERROR(CONCATENATE((INDEX($T$7:$T$78,SMALL(IF($T$7:$T$78&lt;&gt;"",IF($Q$7:$Q$78&lt;&gt;"",ROW($Q$7:$Q$78)-MIN(ROW($Q$7:$Q$78))+1,""),""),ROW()-ROW(A$80)+1)))," "),"")</f>
        <v>0</v>
      </c>
      <c r="R150">
        <f t="array" ref="R150">IFERROR(CONCATENATE(TEXT(INDEX($Q$7:$Q$78,SMALL(IF($T$7:$T$78&lt;&gt;"",IF($Q$7:$Q$78&lt;&gt;"",ROW($Q$7:$Q$78)-MIN(ROW($Q$7:$Q$78))+1,""),""),ROW()-ROW(A$80)+1)),"##0")," "),"")</f>
        <v>0</v>
      </c>
      <c r="S150">
        <f t="array" ref="S150">IFERROR(CONCATENATE((INDEX($A$7:$A$78,SMALL(IF($T$7:$T$78&lt;&gt;"",IF($Q$7:$Q$78&lt;&gt;"",ROW($Q$7:$Q$78)-MIN(ROW($Q$7:$Q$78))+1,""),""),ROW()-ROW(A$80)+1))),),"")</f>
        <v>0</v>
      </c>
      <c r="W150">
        <f t="array" ref="W150">IFERROR(CONCATENATE((INDEX($Z$7:$Z$78,SMALL(IF($Z$7:$Z$78&lt;&gt;"",IF($W$7:$W$78&lt;&gt;"",ROW($W$7:$W$78)-MIN(ROW($W$7:$W$78))+1,""),""),ROW()-ROW(A$80)+1))),","),"")</f>
        <v>0</v>
      </c>
      <c r="X150">
        <f t="array" ref="X150">IFERROR(CONCATENATE(TEXT(INDEX($W$7:$W$78,SMALL(IF($Z$7:$Z$78&lt;&gt;"",IF($W$7:$W$78&lt;&gt;"",ROW($W$7:$W$78)-MIN(ROW($W$7:$W$78))+1,""),""),ROW()-ROW(A$80)+1)),"##0"),","),"")</f>
        <v>0</v>
      </c>
      <c r="Y150">
        <f t="array" ref="Y150">IFERROR(CONCATENATE((INDEX($A$7:$A$78,SMALL(IF($Z$7:$Z$78&lt;&gt;"",IF($W$7:$W$78&lt;&gt;"",ROW($W$7:$W$78)-MIN(ROW($W$7:$W$78))+1,""),""),ROW()-ROW(A$80)+1))),),"")</f>
        <v>0</v>
      </c>
    </row>
    <row r="151" spans="11:25">
      <c r="K151">
        <f t="array" ref="K151">IFERROR(CONCATENATE(TEXT(INDEX($K$7:$K$78,SMALL(IF($N$7:$N$78&lt;&gt;"",IF($K$7:$K$78&lt;&gt;"",ROW($K$7:$K$78)-MIN(ROW($K$7:$K$78))+1,""),""),ROW()-ROW(A$80)+1)),"##0"),","),"")</f>
        <v>0</v>
      </c>
      <c r="L151">
        <f t="array" ref="L151">IFERROR(CONCATENATE((INDEX($N$7:$N$78,SMALL(IF($N$7:$N$78&lt;&gt;"",IF($K$7:$K$78&lt;&gt;"",ROW($K$7:$K$78)-MIN(ROW($K$7:$K$78))+1,""),""),ROW()-ROW(A$80)+1))),","),"")</f>
        <v>0</v>
      </c>
      <c r="M151">
        <f t="array" ref="M151">IFERROR(CONCATENATE((INDEX($A$7:$A$78,SMALL(IF($N$7:$N$78&lt;&gt;"",IF($K$7:$K$78&lt;&gt;"",ROW($K$7:$K$78)-MIN(ROW($K$7:$K$78))+1,""),""),ROW()-ROW(A$80)+1))),),"")</f>
        <v>0</v>
      </c>
      <c r="Q151">
        <f t="array" ref="Q151">IFERROR(CONCATENATE((INDEX($T$7:$T$78,SMALL(IF($T$7:$T$78&lt;&gt;"",IF($Q$7:$Q$78&lt;&gt;"",ROW($Q$7:$Q$78)-MIN(ROW($Q$7:$Q$78))+1,""),""),ROW()-ROW(A$80)+1)))," "),"")</f>
        <v>0</v>
      </c>
      <c r="R151">
        <f t="array" ref="R151">IFERROR(CONCATENATE(TEXT(INDEX($Q$7:$Q$78,SMALL(IF($T$7:$T$78&lt;&gt;"",IF($Q$7:$Q$78&lt;&gt;"",ROW($Q$7:$Q$78)-MIN(ROW($Q$7:$Q$78))+1,""),""),ROW()-ROW(A$80)+1)),"##0")," "),"")</f>
        <v>0</v>
      </c>
      <c r="S151">
        <f t="array" ref="S151">IFERROR(CONCATENATE((INDEX($A$7:$A$78,SMALL(IF($T$7:$T$78&lt;&gt;"",IF($Q$7:$Q$78&lt;&gt;"",ROW($Q$7:$Q$78)-MIN(ROW($Q$7:$Q$78))+1,""),""),ROW()-ROW(A$80)+1))),),"")</f>
        <v>0</v>
      </c>
      <c r="W151">
        <f t="array" ref="W151">IFERROR(CONCATENATE((INDEX($Z$7:$Z$78,SMALL(IF($Z$7:$Z$78&lt;&gt;"",IF($W$7:$W$78&lt;&gt;"",ROW($W$7:$W$78)-MIN(ROW($W$7:$W$78))+1,""),""),ROW()-ROW(A$80)+1))),","),"")</f>
        <v>0</v>
      </c>
      <c r="X151">
        <f t="array" ref="X151">IFERROR(CONCATENATE(TEXT(INDEX($W$7:$W$78,SMALL(IF($Z$7:$Z$78&lt;&gt;"",IF($W$7:$W$78&lt;&gt;"",ROW($W$7:$W$78)-MIN(ROW($W$7:$W$78))+1,""),""),ROW()-ROW(A$80)+1)),"##0"),","),"")</f>
        <v>0</v>
      </c>
      <c r="Y151">
        <f t="array" ref="Y151">IFERROR(CONCATENATE((INDEX($A$7:$A$78,SMALL(IF($Z$7:$Z$78&lt;&gt;"",IF($W$7:$W$78&lt;&gt;"",ROW($W$7:$W$78)-MIN(ROW($W$7:$W$78))+1,""),""),ROW()-ROW(A$80)+1))),),"")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23">
    <cfRule type="cellIs" dxfId="0" priority="21" operator="lessThanOrEqual">
      <formula>H23</formula>
    </cfRule>
  </conditionalFormatting>
  <conditionalFormatting sqref="L24">
    <cfRule type="cellIs" dxfId="0" priority="23" operator="lessThanOrEqual">
      <formula>H24</formula>
    </cfRule>
  </conditionalFormatting>
  <conditionalFormatting sqref="L26">
    <cfRule type="cellIs" dxfId="0" priority="25" operator="lessThanOrEqual">
      <formula>H26</formula>
    </cfRule>
  </conditionalFormatting>
  <conditionalFormatting sqref="L28">
    <cfRule type="cellIs" dxfId="0" priority="27" operator="lessThanOrEqual">
      <formula>H28</formula>
    </cfRule>
  </conditionalFormatting>
  <conditionalFormatting sqref="L29">
    <cfRule type="cellIs" dxfId="0" priority="29" operator="lessThanOrEqual">
      <formula>H29</formula>
    </cfRule>
  </conditionalFormatting>
  <conditionalFormatting sqref="L30">
    <cfRule type="cellIs" dxfId="0" priority="31" operator="lessThanOrEqual">
      <formula>H30</formula>
    </cfRule>
  </conditionalFormatting>
  <conditionalFormatting sqref="L32">
    <cfRule type="cellIs" dxfId="0" priority="33" operator="lessThanOrEqual">
      <formula>H32</formula>
    </cfRule>
  </conditionalFormatting>
  <conditionalFormatting sqref="L33">
    <cfRule type="cellIs" dxfId="0" priority="35" operator="lessThanOrEqual">
      <formula>H33</formula>
    </cfRule>
  </conditionalFormatting>
  <conditionalFormatting sqref="L35">
    <cfRule type="cellIs" dxfId="0" priority="37" operator="lessThanOrEqual">
      <formula>H35</formula>
    </cfRule>
  </conditionalFormatting>
  <conditionalFormatting sqref="L36">
    <cfRule type="cellIs" dxfId="0" priority="39" operator="lessThanOrEqual">
      <formula>H36</formula>
    </cfRule>
  </conditionalFormatting>
  <conditionalFormatting sqref="L38">
    <cfRule type="cellIs" dxfId="0" priority="41" operator="lessThanOrEqual">
      <formula>H38</formula>
    </cfRule>
  </conditionalFormatting>
  <conditionalFormatting sqref="L39">
    <cfRule type="cellIs" dxfId="0" priority="43" operator="lessThanOrEqual">
      <formula>H39</formula>
    </cfRule>
  </conditionalFormatting>
  <conditionalFormatting sqref="L40">
    <cfRule type="cellIs" dxfId="0" priority="45" operator="lessThanOrEqual">
      <formula>H40</formula>
    </cfRule>
  </conditionalFormatting>
  <conditionalFormatting sqref="L41">
    <cfRule type="cellIs" dxfId="0" priority="47" operator="lessThanOrEqual">
      <formula>H41</formula>
    </cfRule>
  </conditionalFormatting>
  <conditionalFormatting sqref="L42">
    <cfRule type="cellIs" dxfId="0" priority="49" operator="lessThanOrEqual">
      <formula>H42</formula>
    </cfRule>
  </conditionalFormatting>
  <conditionalFormatting sqref="L44">
    <cfRule type="cellIs" dxfId="0" priority="51" operator="lessThanOrEqual">
      <formula>H44</formula>
    </cfRule>
  </conditionalFormatting>
  <conditionalFormatting sqref="L48">
    <cfRule type="cellIs" dxfId="0" priority="53" operator="lessThanOrEqual">
      <formula>H48</formula>
    </cfRule>
  </conditionalFormatting>
  <conditionalFormatting sqref="L49">
    <cfRule type="cellIs" dxfId="0" priority="55" operator="lessThanOrEqual">
      <formula>H49</formula>
    </cfRule>
  </conditionalFormatting>
  <conditionalFormatting sqref="L50">
    <cfRule type="cellIs" dxfId="0" priority="57" operator="lessThanOrEqual">
      <formula>H50</formula>
    </cfRule>
  </conditionalFormatting>
  <conditionalFormatting sqref="L51">
    <cfRule type="cellIs" dxfId="0" priority="59" operator="lessThanOrEqual">
      <formula>H51</formula>
    </cfRule>
  </conditionalFormatting>
  <conditionalFormatting sqref="L52">
    <cfRule type="cellIs" dxfId="0" priority="61" operator="lessThanOrEqual">
      <formula>H52</formula>
    </cfRule>
  </conditionalFormatting>
  <conditionalFormatting sqref="L53">
    <cfRule type="cellIs" dxfId="0" priority="63" operator="lessThanOrEqual">
      <formula>H53</formula>
    </cfRule>
  </conditionalFormatting>
  <conditionalFormatting sqref="L54">
    <cfRule type="cellIs" dxfId="0" priority="65" operator="lessThanOrEqual">
      <formula>H54</formula>
    </cfRule>
  </conditionalFormatting>
  <conditionalFormatting sqref="L56">
    <cfRule type="cellIs" dxfId="0" priority="67" operator="lessThanOrEqual">
      <formula>H56</formula>
    </cfRule>
  </conditionalFormatting>
  <conditionalFormatting sqref="L57">
    <cfRule type="cellIs" dxfId="0" priority="69" operator="lessThanOrEqual">
      <formula>H57</formula>
    </cfRule>
  </conditionalFormatting>
  <conditionalFormatting sqref="L58">
    <cfRule type="cellIs" dxfId="0" priority="71" operator="lessThanOrEqual">
      <formula>H58</formula>
    </cfRule>
  </conditionalFormatting>
  <conditionalFormatting sqref="L60">
    <cfRule type="cellIs" dxfId="0" priority="73" operator="lessThanOrEqual">
      <formula>H60</formula>
    </cfRule>
  </conditionalFormatting>
  <conditionalFormatting sqref="L61">
    <cfRule type="cellIs" dxfId="0" priority="75" operator="lessThanOrEqual">
      <formula>H61</formula>
    </cfRule>
  </conditionalFormatting>
  <conditionalFormatting sqref="L63">
    <cfRule type="cellIs" dxfId="0" priority="77" operator="lessThanOrEqual">
      <formula>H63</formula>
    </cfRule>
  </conditionalFormatting>
  <conditionalFormatting sqref="L66">
    <cfRule type="cellIs" dxfId="0" priority="79" operator="lessThanOrEqual">
      <formula>H66</formula>
    </cfRule>
  </conditionalFormatting>
  <conditionalFormatting sqref="L67">
    <cfRule type="cellIs" dxfId="0" priority="81" operator="lessThanOrEqual">
      <formula>H67</formula>
    </cfRule>
  </conditionalFormatting>
  <conditionalFormatting sqref="L68">
    <cfRule type="cellIs" dxfId="0" priority="83" operator="lessThanOrEqual">
      <formula>H68</formula>
    </cfRule>
  </conditionalFormatting>
  <conditionalFormatting sqref="L69">
    <cfRule type="cellIs" dxfId="0" priority="85" operator="lessThanOrEqual">
      <formula>H69</formula>
    </cfRule>
  </conditionalFormatting>
  <conditionalFormatting sqref="L7">
    <cfRule type="cellIs" dxfId="0" priority="1" operator="lessThanOrEqual">
      <formula>H7</formula>
    </cfRule>
  </conditionalFormatting>
  <conditionalFormatting sqref="L70">
    <cfRule type="cellIs" dxfId="0" priority="87" operator="lessThanOrEqual">
      <formula>H70</formula>
    </cfRule>
  </conditionalFormatting>
  <conditionalFormatting sqref="L71">
    <cfRule type="cellIs" dxfId="0" priority="89" operator="lessThanOrEqual">
      <formula>H71</formula>
    </cfRule>
  </conditionalFormatting>
  <conditionalFormatting sqref="L72">
    <cfRule type="cellIs" dxfId="0" priority="91" operator="lessThanOrEqual">
      <formula>H72</formula>
    </cfRule>
  </conditionalFormatting>
  <conditionalFormatting sqref="L73">
    <cfRule type="cellIs" dxfId="0" priority="93" operator="lessThanOrEqual">
      <formula>H73</formula>
    </cfRule>
  </conditionalFormatting>
  <conditionalFormatting sqref="L74">
    <cfRule type="cellIs" dxfId="0" priority="95" operator="lessThanOrEqual">
      <formula>H74</formula>
    </cfRule>
  </conditionalFormatting>
  <conditionalFormatting sqref="L75">
    <cfRule type="cellIs" dxfId="0" priority="97" operator="lessThanOrEqual">
      <formula>H75</formula>
    </cfRule>
  </conditionalFormatting>
  <conditionalFormatting sqref="L76">
    <cfRule type="cellIs" dxfId="0" priority="99" operator="lessThanOrEqual">
      <formula>H76</formula>
    </cfRule>
  </conditionalFormatting>
  <conditionalFormatting sqref="L78">
    <cfRule type="cellIs" dxfId="0" priority="101" operator="lessThanOrEqual">
      <formula>H78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23">
    <cfRule type="cellIs" dxfId="0" priority="22" operator="lessThanOrEqual">
      <formula>I23</formula>
    </cfRule>
  </conditionalFormatting>
  <conditionalFormatting sqref="M24">
    <cfRule type="cellIs" dxfId="0" priority="24" operator="lessThanOrEqual">
      <formula>I24</formula>
    </cfRule>
  </conditionalFormatting>
  <conditionalFormatting sqref="M26">
    <cfRule type="cellIs" dxfId="0" priority="26" operator="lessThanOrEqual">
      <formula>I26</formula>
    </cfRule>
  </conditionalFormatting>
  <conditionalFormatting sqref="M28">
    <cfRule type="cellIs" dxfId="0" priority="28" operator="lessThanOrEqual">
      <formula>I28</formula>
    </cfRule>
  </conditionalFormatting>
  <conditionalFormatting sqref="M29">
    <cfRule type="cellIs" dxfId="0" priority="30" operator="lessThanOrEqual">
      <formula>I29</formula>
    </cfRule>
  </conditionalFormatting>
  <conditionalFormatting sqref="M30">
    <cfRule type="cellIs" dxfId="0" priority="32" operator="lessThanOrEqual">
      <formula>I30</formula>
    </cfRule>
  </conditionalFormatting>
  <conditionalFormatting sqref="M32">
    <cfRule type="cellIs" dxfId="0" priority="34" operator="lessThanOrEqual">
      <formula>I32</formula>
    </cfRule>
  </conditionalFormatting>
  <conditionalFormatting sqref="M33">
    <cfRule type="cellIs" dxfId="0" priority="36" operator="lessThanOrEqual">
      <formula>I33</formula>
    </cfRule>
  </conditionalFormatting>
  <conditionalFormatting sqref="M35">
    <cfRule type="cellIs" dxfId="0" priority="38" operator="lessThanOrEqual">
      <formula>I35</formula>
    </cfRule>
  </conditionalFormatting>
  <conditionalFormatting sqref="M36">
    <cfRule type="cellIs" dxfId="0" priority="40" operator="lessThanOrEqual">
      <formula>I36</formula>
    </cfRule>
  </conditionalFormatting>
  <conditionalFormatting sqref="M38">
    <cfRule type="cellIs" dxfId="0" priority="42" operator="lessThanOrEqual">
      <formula>I38</formula>
    </cfRule>
  </conditionalFormatting>
  <conditionalFormatting sqref="M39">
    <cfRule type="cellIs" dxfId="0" priority="44" operator="lessThanOrEqual">
      <formula>I39</formula>
    </cfRule>
  </conditionalFormatting>
  <conditionalFormatting sqref="M40">
    <cfRule type="cellIs" dxfId="0" priority="46" operator="lessThanOrEqual">
      <formula>I40</formula>
    </cfRule>
  </conditionalFormatting>
  <conditionalFormatting sqref="M41">
    <cfRule type="cellIs" dxfId="0" priority="48" operator="lessThanOrEqual">
      <formula>I41</formula>
    </cfRule>
  </conditionalFormatting>
  <conditionalFormatting sqref="M42">
    <cfRule type="cellIs" dxfId="0" priority="50" operator="lessThanOrEqual">
      <formula>I42</formula>
    </cfRule>
  </conditionalFormatting>
  <conditionalFormatting sqref="M44">
    <cfRule type="cellIs" dxfId="0" priority="52" operator="lessThanOrEqual">
      <formula>I44</formula>
    </cfRule>
  </conditionalFormatting>
  <conditionalFormatting sqref="M48">
    <cfRule type="cellIs" dxfId="0" priority="54" operator="lessThanOrEqual">
      <formula>I48</formula>
    </cfRule>
  </conditionalFormatting>
  <conditionalFormatting sqref="M49">
    <cfRule type="cellIs" dxfId="0" priority="56" operator="lessThanOrEqual">
      <formula>I49</formula>
    </cfRule>
  </conditionalFormatting>
  <conditionalFormatting sqref="M50">
    <cfRule type="cellIs" dxfId="0" priority="58" operator="lessThanOrEqual">
      <formula>I50</formula>
    </cfRule>
  </conditionalFormatting>
  <conditionalFormatting sqref="M51">
    <cfRule type="cellIs" dxfId="0" priority="60" operator="lessThanOrEqual">
      <formula>I51</formula>
    </cfRule>
  </conditionalFormatting>
  <conditionalFormatting sqref="M52">
    <cfRule type="cellIs" dxfId="0" priority="62" operator="lessThanOrEqual">
      <formula>I52</formula>
    </cfRule>
  </conditionalFormatting>
  <conditionalFormatting sqref="M53">
    <cfRule type="cellIs" dxfId="0" priority="64" operator="lessThanOrEqual">
      <formula>I53</formula>
    </cfRule>
  </conditionalFormatting>
  <conditionalFormatting sqref="M54">
    <cfRule type="cellIs" dxfId="0" priority="66" operator="lessThanOrEqual">
      <formula>I54</formula>
    </cfRule>
  </conditionalFormatting>
  <conditionalFormatting sqref="M56">
    <cfRule type="cellIs" dxfId="0" priority="68" operator="lessThanOrEqual">
      <formula>I56</formula>
    </cfRule>
  </conditionalFormatting>
  <conditionalFormatting sqref="M57">
    <cfRule type="cellIs" dxfId="0" priority="70" operator="lessThanOrEqual">
      <formula>I57</formula>
    </cfRule>
  </conditionalFormatting>
  <conditionalFormatting sqref="M58">
    <cfRule type="cellIs" dxfId="0" priority="72" operator="lessThanOrEqual">
      <formula>I58</formula>
    </cfRule>
  </conditionalFormatting>
  <conditionalFormatting sqref="M60">
    <cfRule type="cellIs" dxfId="0" priority="74" operator="lessThanOrEqual">
      <formula>I60</formula>
    </cfRule>
  </conditionalFormatting>
  <conditionalFormatting sqref="M61">
    <cfRule type="cellIs" dxfId="0" priority="76" operator="lessThanOrEqual">
      <formula>I61</formula>
    </cfRule>
  </conditionalFormatting>
  <conditionalFormatting sqref="M63">
    <cfRule type="cellIs" dxfId="0" priority="78" operator="lessThanOrEqual">
      <formula>I63</formula>
    </cfRule>
  </conditionalFormatting>
  <conditionalFormatting sqref="M66">
    <cfRule type="cellIs" dxfId="0" priority="80" operator="lessThanOrEqual">
      <formula>I66</formula>
    </cfRule>
  </conditionalFormatting>
  <conditionalFormatting sqref="M67">
    <cfRule type="cellIs" dxfId="0" priority="82" operator="lessThanOrEqual">
      <formula>I67</formula>
    </cfRule>
  </conditionalFormatting>
  <conditionalFormatting sqref="M68">
    <cfRule type="cellIs" dxfId="0" priority="84" operator="lessThanOrEqual">
      <formula>I68</formula>
    </cfRule>
  </conditionalFormatting>
  <conditionalFormatting sqref="M69">
    <cfRule type="cellIs" dxfId="0" priority="86" operator="lessThanOrEqual">
      <formula>I69</formula>
    </cfRule>
  </conditionalFormatting>
  <conditionalFormatting sqref="M7">
    <cfRule type="cellIs" dxfId="0" priority="2" operator="lessThanOrEqual">
      <formula>I7</formula>
    </cfRule>
  </conditionalFormatting>
  <conditionalFormatting sqref="M70">
    <cfRule type="cellIs" dxfId="0" priority="88" operator="lessThanOrEqual">
      <formula>I70</formula>
    </cfRule>
  </conditionalFormatting>
  <conditionalFormatting sqref="M71">
    <cfRule type="cellIs" dxfId="0" priority="90" operator="lessThanOrEqual">
      <formula>I71</formula>
    </cfRule>
  </conditionalFormatting>
  <conditionalFormatting sqref="M72">
    <cfRule type="cellIs" dxfId="0" priority="92" operator="lessThanOrEqual">
      <formula>I72</formula>
    </cfRule>
  </conditionalFormatting>
  <conditionalFormatting sqref="M73">
    <cfRule type="cellIs" dxfId="0" priority="94" operator="lessThanOrEqual">
      <formula>I73</formula>
    </cfRule>
  </conditionalFormatting>
  <conditionalFormatting sqref="M74">
    <cfRule type="cellIs" dxfId="0" priority="96" operator="lessThanOrEqual">
      <formula>I74</formula>
    </cfRule>
  </conditionalFormatting>
  <conditionalFormatting sqref="M75">
    <cfRule type="cellIs" dxfId="0" priority="98" operator="lessThanOrEqual">
      <formula>I75</formula>
    </cfRule>
  </conditionalFormatting>
  <conditionalFormatting sqref="M76">
    <cfRule type="cellIs" dxfId="0" priority="100" operator="lessThanOrEqual">
      <formula>I76</formula>
    </cfRule>
  </conditionalFormatting>
  <conditionalFormatting sqref="M78">
    <cfRule type="cellIs" dxfId="0" priority="102" operator="lessThanOrEqual">
      <formula>I78</formula>
    </cfRule>
  </conditionalFormatting>
  <conditionalFormatting sqref="M9">
    <cfRule type="cellIs" dxfId="0" priority="4" operator="lessThanOrEqual">
      <formula>I9</formula>
    </cfRule>
  </conditionalFormatting>
  <conditionalFormatting sqref="R10">
    <cfRule type="cellIs" dxfId="0" priority="107" operator="lessThanOrEqual">
      <formula>H10</formula>
    </cfRule>
  </conditionalFormatting>
  <conditionalFormatting sqref="R12">
    <cfRule type="cellIs" dxfId="0" priority="109" operator="lessThanOrEqual">
      <formula>H12</formula>
    </cfRule>
  </conditionalFormatting>
  <conditionalFormatting sqref="R13">
    <cfRule type="cellIs" dxfId="0" priority="111" operator="lessThanOrEqual">
      <formula>H13</formula>
    </cfRule>
  </conditionalFormatting>
  <conditionalFormatting sqref="R14">
    <cfRule type="cellIs" dxfId="0" priority="113" operator="lessThanOrEqual">
      <formula>H14</formula>
    </cfRule>
  </conditionalFormatting>
  <conditionalFormatting sqref="R15">
    <cfRule type="cellIs" dxfId="0" priority="115" operator="lessThanOrEqual">
      <formula>H15</formula>
    </cfRule>
  </conditionalFormatting>
  <conditionalFormatting sqref="R16">
    <cfRule type="cellIs" dxfId="0" priority="117" operator="lessThanOrEqual">
      <formula>H16</formula>
    </cfRule>
  </conditionalFormatting>
  <conditionalFormatting sqref="R17">
    <cfRule type="cellIs" dxfId="0" priority="119" operator="lessThanOrEqual">
      <formula>H17</formula>
    </cfRule>
  </conditionalFormatting>
  <conditionalFormatting sqref="R23">
    <cfRule type="cellIs" dxfId="0" priority="121" operator="lessThanOrEqual">
      <formula>H23</formula>
    </cfRule>
  </conditionalFormatting>
  <conditionalFormatting sqref="R24">
    <cfRule type="cellIs" dxfId="0" priority="123" operator="lessThanOrEqual">
      <formula>H24</formula>
    </cfRule>
  </conditionalFormatting>
  <conditionalFormatting sqref="R26">
    <cfRule type="cellIs" dxfId="0" priority="125" operator="lessThanOrEqual">
      <formula>H26</formula>
    </cfRule>
  </conditionalFormatting>
  <conditionalFormatting sqref="R29">
    <cfRule type="cellIs" dxfId="0" priority="127" operator="lessThanOrEqual">
      <formula>H29</formula>
    </cfRule>
  </conditionalFormatting>
  <conditionalFormatting sqref="R33">
    <cfRule type="cellIs" dxfId="0" priority="129" operator="lessThanOrEqual">
      <formula>H33</formula>
    </cfRule>
  </conditionalFormatting>
  <conditionalFormatting sqref="R35">
    <cfRule type="cellIs" dxfId="0" priority="131" operator="lessThanOrEqual">
      <formula>H35</formula>
    </cfRule>
  </conditionalFormatting>
  <conditionalFormatting sqref="R38">
    <cfRule type="cellIs" dxfId="0" priority="133" operator="lessThanOrEqual">
      <formula>H38</formula>
    </cfRule>
  </conditionalFormatting>
  <conditionalFormatting sqref="R39">
    <cfRule type="cellIs" dxfId="0" priority="135" operator="lessThanOrEqual">
      <formula>H39</formula>
    </cfRule>
  </conditionalFormatting>
  <conditionalFormatting sqref="R40">
    <cfRule type="cellIs" dxfId="0" priority="137" operator="lessThanOrEqual">
      <formula>H40</formula>
    </cfRule>
  </conditionalFormatting>
  <conditionalFormatting sqref="R41">
    <cfRule type="cellIs" dxfId="0" priority="139" operator="lessThanOrEqual">
      <formula>H41</formula>
    </cfRule>
  </conditionalFormatting>
  <conditionalFormatting sqref="R48">
    <cfRule type="cellIs" dxfId="0" priority="141" operator="lessThanOrEqual">
      <formula>H48</formula>
    </cfRule>
  </conditionalFormatting>
  <conditionalFormatting sqref="R50">
    <cfRule type="cellIs" dxfId="0" priority="143" operator="lessThanOrEqual">
      <formula>H50</formula>
    </cfRule>
  </conditionalFormatting>
  <conditionalFormatting sqref="R51">
    <cfRule type="cellIs" dxfId="0" priority="145" operator="lessThanOrEqual">
      <formula>H51</formula>
    </cfRule>
  </conditionalFormatting>
  <conditionalFormatting sqref="R7">
    <cfRule type="cellIs" dxfId="0" priority="103" operator="lessThanOrEqual">
      <formula>H7</formula>
    </cfRule>
  </conditionalFormatting>
  <conditionalFormatting sqref="R9">
    <cfRule type="cellIs" dxfId="0" priority="105" operator="lessThanOrEqual">
      <formula>H9</formula>
    </cfRule>
  </conditionalFormatting>
  <conditionalFormatting sqref="S10">
    <cfRule type="cellIs" dxfId="0" priority="108" operator="lessThanOrEqual">
      <formula>I10</formula>
    </cfRule>
  </conditionalFormatting>
  <conditionalFormatting sqref="S12">
    <cfRule type="cellIs" dxfId="0" priority="110" operator="lessThanOrEqual">
      <formula>I12</formula>
    </cfRule>
  </conditionalFormatting>
  <conditionalFormatting sqref="S13">
    <cfRule type="cellIs" dxfId="0" priority="112" operator="lessThanOrEqual">
      <formula>I13</formula>
    </cfRule>
  </conditionalFormatting>
  <conditionalFormatting sqref="S14">
    <cfRule type="cellIs" dxfId="0" priority="114" operator="lessThanOrEqual">
      <formula>I14</formula>
    </cfRule>
  </conditionalFormatting>
  <conditionalFormatting sqref="S15">
    <cfRule type="cellIs" dxfId="0" priority="116" operator="lessThanOrEqual">
      <formula>I15</formula>
    </cfRule>
  </conditionalFormatting>
  <conditionalFormatting sqref="S16">
    <cfRule type="cellIs" dxfId="0" priority="118" operator="lessThanOrEqual">
      <formula>I16</formula>
    </cfRule>
  </conditionalFormatting>
  <conditionalFormatting sqref="S17">
    <cfRule type="cellIs" dxfId="0" priority="120" operator="lessThanOrEqual">
      <formula>I17</formula>
    </cfRule>
  </conditionalFormatting>
  <conditionalFormatting sqref="S23">
    <cfRule type="cellIs" dxfId="0" priority="122" operator="lessThanOrEqual">
      <formula>I23</formula>
    </cfRule>
  </conditionalFormatting>
  <conditionalFormatting sqref="S24">
    <cfRule type="cellIs" dxfId="0" priority="124" operator="lessThanOrEqual">
      <formula>I24</formula>
    </cfRule>
  </conditionalFormatting>
  <conditionalFormatting sqref="S26">
    <cfRule type="cellIs" dxfId="0" priority="126" operator="lessThanOrEqual">
      <formula>I26</formula>
    </cfRule>
  </conditionalFormatting>
  <conditionalFormatting sqref="S29">
    <cfRule type="cellIs" dxfId="0" priority="128" operator="lessThanOrEqual">
      <formula>I29</formula>
    </cfRule>
  </conditionalFormatting>
  <conditionalFormatting sqref="S33">
    <cfRule type="cellIs" dxfId="0" priority="130" operator="lessThanOrEqual">
      <formula>I33</formula>
    </cfRule>
  </conditionalFormatting>
  <conditionalFormatting sqref="S35">
    <cfRule type="cellIs" dxfId="0" priority="132" operator="lessThanOrEqual">
      <formula>I35</formula>
    </cfRule>
  </conditionalFormatting>
  <conditionalFormatting sqref="S38">
    <cfRule type="cellIs" dxfId="0" priority="134" operator="lessThanOrEqual">
      <formula>I38</formula>
    </cfRule>
  </conditionalFormatting>
  <conditionalFormatting sqref="S39">
    <cfRule type="cellIs" dxfId="0" priority="136" operator="lessThanOrEqual">
      <formula>I39</formula>
    </cfRule>
  </conditionalFormatting>
  <conditionalFormatting sqref="S40">
    <cfRule type="cellIs" dxfId="0" priority="138" operator="lessThanOrEqual">
      <formula>I40</formula>
    </cfRule>
  </conditionalFormatting>
  <conditionalFormatting sqref="S41">
    <cfRule type="cellIs" dxfId="0" priority="140" operator="lessThanOrEqual">
      <formula>I41</formula>
    </cfRule>
  </conditionalFormatting>
  <conditionalFormatting sqref="S48">
    <cfRule type="cellIs" dxfId="0" priority="142" operator="lessThanOrEqual">
      <formula>I48</formula>
    </cfRule>
  </conditionalFormatting>
  <conditionalFormatting sqref="S50">
    <cfRule type="cellIs" dxfId="0" priority="144" operator="lessThanOrEqual">
      <formula>I50</formula>
    </cfRule>
  </conditionalFormatting>
  <conditionalFormatting sqref="S51">
    <cfRule type="cellIs" dxfId="0" priority="146" operator="lessThanOrEqual">
      <formula>I51</formula>
    </cfRule>
  </conditionalFormatting>
  <conditionalFormatting sqref="S7">
    <cfRule type="cellIs" dxfId="0" priority="104" operator="lessThanOrEqual">
      <formula>I7</formula>
    </cfRule>
  </conditionalFormatting>
  <conditionalFormatting sqref="S9">
    <cfRule type="cellIs" dxfId="0" priority="106" operator="lessThanOrEqual">
      <formula>I9</formula>
    </cfRule>
  </conditionalFormatting>
  <conditionalFormatting sqref="X10">
    <cfRule type="cellIs" dxfId="0" priority="151" operator="lessThanOrEqual">
      <formula>H10</formula>
    </cfRule>
  </conditionalFormatting>
  <conditionalFormatting sqref="X12">
    <cfRule type="cellIs" dxfId="0" priority="153" operator="lessThanOrEqual">
      <formula>H12</formula>
    </cfRule>
  </conditionalFormatting>
  <conditionalFormatting sqref="X13">
    <cfRule type="cellIs" dxfId="0" priority="155" operator="lessThanOrEqual">
      <formula>H13</formula>
    </cfRule>
  </conditionalFormatting>
  <conditionalFormatting sqref="X15">
    <cfRule type="cellIs" dxfId="0" priority="157" operator="lessThanOrEqual">
      <formula>H15</formula>
    </cfRule>
  </conditionalFormatting>
  <conditionalFormatting sqref="X23">
    <cfRule type="cellIs" dxfId="0" priority="159" operator="lessThanOrEqual">
      <formula>H23</formula>
    </cfRule>
  </conditionalFormatting>
  <conditionalFormatting sqref="X24">
    <cfRule type="cellIs" dxfId="0" priority="161" operator="lessThanOrEqual">
      <formula>H24</formula>
    </cfRule>
  </conditionalFormatting>
  <conditionalFormatting sqref="X26">
    <cfRule type="cellIs" dxfId="0" priority="163" operator="lessThanOrEqual">
      <formula>H26</formula>
    </cfRule>
  </conditionalFormatting>
  <conditionalFormatting sqref="X29">
    <cfRule type="cellIs" dxfId="0" priority="165" operator="lessThanOrEqual">
      <formula>H29</formula>
    </cfRule>
  </conditionalFormatting>
  <conditionalFormatting sqref="X32">
    <cfRule type="cellIs" dxfId="0" priority="167" operator="lessThanOrEqual">
      <formula>H32</formula>
    </cfRule>
  </conditionalFormatting>
  <conditionalFormatting sqref="X33">
    <cfRule type="cellIs" dxfId="0" priority="169" operator="lessThanOrEqual">
      <formula>H33</formula>
    </cfRule>
  </conditionalFormatting>
  <conditionalFormatting sqref="X35">
    <cfRule type="cellIs" dxfId="0" priority="171" operator="lessThanOrEqual">
      <formula>H35</formula>
    </cfRule>
  </conditionalFormatting>
  <conditionalFormatting sqref="X36">
    <cfRule type="cellIs" dxfId="0" priority="173" operator="lessThanOrEqual">
      <formula>H36</formula>
    </cfRule>
  </conditionalFormatting>
  <conditionalFormatting sqref="X38">
    <cfRule type="cellIs" dxfId="0" priority="175" operator="lessThanOrEqual">
      <formula>H38</formula>
    </cfRule>
  </conditionalFormatting>
  <conditionalFormatting sqref="X39">
    <cfRule type="cellIs" dxfId="0" priority="177" operator="lessThanOrEqual">
      <formula>H39</formula>
    </cfRule>
  </conditionalFormatting>
  <conditionalFormatting sqref="X41">
    <cfRule type="cellIs" dxfId="0" priority="179" operator="lessThanOrEqual">
      <formula>H41</formula>
    </cfRule>
  </conditionalFormatting>
  <conditionalFormatting sqref="X48">
    <cfRule type="cellIs" dxfId="0" priority="181" operator="lessThanOrEqual">
      <formula>H48</formula>
    </cfRule>
  </conditionalFormatting>
  <conditionalFormatting sqref="X50">
    <cfRule type="cellIs" dxfId="0" priority="183" operator="lessThanOrEqual">
      <formula>H50</formula>
    </cfRule>
  </conditionalFormatting>
  <conditionalFormatting sqref="X51">
    <cfRule type="cellIs" dxfId="0" priority="185" operator="lessThanOrEqual">
      <formula>H51</formula>
    </cfRule>
  </conditionalFormatting>
  <conditionalFormatting sqref="X52">
    <cfRule type="cellIs" dxfId="0" priority="187" operator="lessThanOrEqual">
      <formula>H52</formula>
    </cfRule>
  </conditionalFormatting>
  <conditionalFormatting sqref="X53">
    <cfRule type="cellIs" dxfId="0" priority="189" operator="lessThanOrEqual">
      <formula>H53</formula>
    </cfRule>
  </conditionalFormatting>
  <conditionalFormatting sqref="X54">
    <cfRule type="cellIs" dxfId="0" priority="191" operator="lessThanOrEqual">
      <formula>H54</formula>
    </cfRule>
  </conditionalFormatting>
  <conditionalFormatting sqref="X56">
    <cfRule type="cellIs" dxfId="0" priority="193" operator="lessThanOrEqual">
      <formula>H56</formula>
    </cfRule>
  </conditionalFormatting>
  <conditionalFormatting sqref="X57">
    <cfRule type="cellIs" dxfId="0" priority="195" operator="lessThanOrEqual">
      <formula>H57</formula>
    </cfRule>
  </conditionalFormatting>
  <conditionalFormatting sqref="X58">
    <cfRule type="cellIs" dxfId="0" priority="197" operator="lessThanOrEqual">
      <formula>H58</formula>
    </cfRule>
  </conditionalFormatting>
  <conditionalFormatting sqref="X60">
    <cfRule type="cellIs" dxfId="0" priority="199" operator="lessThanOrEqual">
      <formula>H60</formula>
    </cfRule>
  </conditionalFormatting>
  <conditionalFormatting sqref="X61">
    <cfRule type="cellIs" dxfId="0" priority="201" operator="lessThanOrEqual">
      <formula>H61</formula>
    </cfRule>
  </conditionalFormatting>
  <conditionalFormatting sqref="X63">
    <cfRule type="cellIs" dxfId="0" priority="203" operator="lessThanOrEqual">
      <formula>H63</formula>
    </cfRule>
  </conditionalFormatting>
  <conditionalFormatting sqref="X7">
    <cfRule type="cellIs" dxfId="0" priority="147" operator="lessThanOrEqual">
      <formula>H7</formula>
    </cfRule>
  </conditionalFormatting>
  <conditionalFormatting sqref="X70">
    <cfRule type="cellIs" dxfId="0" priority="205" operator="lessThanOrEqual">
      <formula>H70</formula>
    </cfRule>
  </conditionalFormatting>
  <conditionalFormatting sqref="X71">
    <cfRule type="cellIs" dxfId="0" priority="207" operator="lessThanOrEqual">
      <formula>H71</formula>
    </cfRule>
  </conditionalFormatting>
  <conditionalFormatting sqref="X72">
    <cfRule type="cellIs" dxfId="0" priority="209" operator="lessThanOrEqual">
      <formula>H72</formula>
    </cfRule>
  </conditionalFormatting>
  <conditionalFormatting sqref="X74">
    <cfRule type="cellIs" dxfId="0" priority="211" operator="lessThanOrEqual">
      <formula>H74</formula>
    </cfRule>
  </conditionalFormatting>
  <conditionalFormatting sqref="X75">
    <cfRule type="cellIs" dxfId="0" priority="213" operator="lessThanOrEqual">
      <formula>H75</formula>
    </cfRule>
  </conditionalFormatting>
  <conditionalFormatting sqref="X76">
    <cfRule type="cellIs" dxfId="0" priority="215" operator="lessThanOrEqual">
      <formula>H76</formula>
    </cfRule>
  </conditionalFormatting>
  <conditionalFormatting sqref="X78">
    <cfRule type="cellIs" dxfId="0" priority="217" operator="lessThanOrEqual">
      <formula>H78</formula>
    </cfRule>
  </conditionalFormatting>
  <conditionalFormatting sqref="X9">
    <cfRule type="cellIs" dxfId="0" priority="149" operator="lessThanOrEqual">
      <formula>H9</formula>
    </cfRule>
  </conditionalFormatting>
  <conditionalFormatting sqref="Y10">
    <cfRule type="cellIs" dxfId="0" priority="152" operator="lessThanOrEqual">
      <formula>I10</formula>
    </cfRule>
  </conditionalFormatting>
  <conditionalFormatting sqref="Y12">
    <cfRule type="cellIs" dxfId="0" priority="154" operator="lessThanOrEqual">
      <formula>I12</formula>
    </cfRule>
  </conditionalFormatting>
  <conditionalFormatting sqref="Y13">
    <cfRule type="cellIs" dxfId="0" priority="156" operator="lessThanOrEqual">
      <formula>I13</formula>
    </cfRule>
  </conditionalFormatting>
  <conditionalFormatting sqref="Y15">
    <cfRule type="cellIs" dxfId="0" priority="158" operator="lessThanOrEqual">
      <formula>I15</formula>
    </cfRule>
  </conditionalFormatting>
  <conditionalFormatting sqref="Y23">
    <cfRule type="cellIs" dxfId="0" priority="160" operator="lessThanOrEqual">
      <formula>I23</formula>
    </cfRule>
  </conditionalFormatting>
  <conditionalFormatting sqref="Y24">
    <cfRule type="cellIs" dxfId="0" priority="162" operator="lessThanOrEqual">
      <formula>I24</formula>
    </cfRule>
  </conditionalFormatting>
  <conditionalFormatting sqref="Y26">
    <cfRule type="cellIs" dxfId="0" priority="164" operator="lessThanOrEqual">
      <formula>I26</formula>
    </cfRule>
  </conditionalFormatting>
  <conditionalFormatting sqref="Y29">
    <cfRule type="cellIs" dxfId="0" priority="166" operator="lessThanOrEqual">
      <formula>I29</formula>
    </cfRule>
  </conditionalFormatting>
  <conditionalFormatting sqref="Y32">
    <cfRule type="cellIs" dxfId="0" priority="168" operator="lessThanOrEqual">
      <formula>I32</formula>
    </cfRule>
  </conditionalFormatting>
  <conditionalFormatting sqref="Y33">
    <cfRule type="cellIs" dxfId="0" priority="170" operator="lessThanOrEqual">
      <formula>I33</formula>
    </cfRule>
  </conditionalFormatting>
  <conditionalFormatting sqref="Y35">
    <cfRule type="cellIs" dxfId="0" priority="172" operator="lessThanOrEqual">
      <formula>I35</formula>
    </cfRule>
  </conditionalFormatting>
  <conditionalFormatting sqref="Y36">
    <cfRule type="cellIs" dxfId="0" priority="174" operator="lessThanOrEqual">
      <formula>I36</formula>
    </cfRule>
  </conditionalFormatting>
  <conditionalFormatting sqref="Y38">
    <cfRule type="cellIs" dxfId="0" priority="176" operator="lessThanOrEqual">
      <formula>I38</formula>
    </cfRule>
  </conditionalFormatting>
  <conditionalFormatting sqref="Y39">
    <cfRule type="cellIs" dxfId="0" priority="178" operator="lessThanOrEqual">
      <formula>I39</formula>
    </cfRule>
  </conditionalFormatting>
  <conditionalFormatting sqref="Y41">
    <cfRule type="cellIs" dxfId="0" priority="180" operator="lessThanOrEqual">
      <formula>I41</formula>
    </cfRule>
  </conditionalFormatting>
  <conditionalFormatting sqref="Y48">
    <cfRule type="cellIs" dxfId="0" priority="182" operator="lessThanOrEqual">
      <formula>I48</formula>
    </cfRule>
  </conditionalFormatting>
  <conditionalFormatting sqref="Y50">
    <cfRule type="cellIs" dxfId="0" priority="184" operator="lessThanOrEqual">
      <formula>I50</formula>
    </cfRule>
  </conditionalFormatting>
  <conditionalFormatting sqref="Y51">
    <cfRule type="cellIs" dxfId="0" priority="186" operator="lessThanOrEqual">
      <formula>I51</formula>
    </cfRule>
  </conditionalFormatting>
  <conditionalFormatting sqref="Y52">
    <cfRule type="cellIs" dxfId="0" priority="188" operator="lessThanOrEqual">
      <formula>I52</formula>
    </cfRule>
  </conditionalFormatting>
  <conditionalFormatting sqref="Y53">
    <cfRule type="cellIs" dxfId="0" priority="190" operator="lessThanOrEqual">
      <formula>I53</formula>
    </cfRule>
  </conditionalFormatting>
  <conditionalFormatting sqref="Y54">
    <cfRule type="cellIs" dxfId="0" priority="192" operator="lessThanOrEqual">
      <formula>I54</formula>
    </cfRule>
  </conditionalFormatting>
  <conditionalFormatting sqref="Y56">
    <cfRule type="cellIs" dxfId="0" priority="194" operator="lessThanOrEqual">
      <formula>I56</formula>
    </cfRule>
  </conditionalFormatting>
  <conditionalFormatting sqref="Y57">
    <cfRule type="cellIs" dxfId="0" priority="196" operator="lessThanOrEqual">
      <formula>I57</formula>
    </cfRule>
  </conditionalFormatting>
  <conditionalFormatting sqref="Y58">
    <cfRule type="cellIs" dxfId="0" priority="198" operator="lessThanOrEqual">
      <formula>I58</formula>
    </cfRule>
  </conditionalFormatting>
  <conditionalFormatting sqref="Y60">
    <cfRule type="cellIs" dxfId="0" priority="200" operator="lessThanOrEqual">
      <formula>I60</formula>
    </cfRule>
  </conditionalFormatting>
  <conditionalFormatting sqref="Y61">
    <cfRule type="cellIs" dxfId="0" priority="202" operator="lessThanOrEqual">
      <formula>I61</formula>
    </cfRule>
  </conditionalFormatting>
  <conditionalFormatting sqref="Y63">
    <cfRule type="cellIs" dxfId="0" priority="204" operator="lessThanOrEqual">
      <formula>I63</formula>
    </cfRule>
  </conditionalFormatting>
  <conditionalFormatting sqref="Y7">
    <cfRule type="cellIs" dxfId="0" priority="148" operator="lessThanOrEqual">
      <formula>I7</formula>
    </cfRule>
  </conditionalFormatting>
  <conditionalFormatting sqref="Y70">
    <cfRule type="cellIs" dxfId="0" priority="206" operator="lessThanOrEqual">
      <formula>I70</formula>
    </cfRule>
  </conditionalFormatting>
  <conditionalFormatting sqref="Y71">
    <cfRule type="cellIs" dxfId="0" priority="208" operator="lessThanOrEqual">
      <formula>I71</formula>
    </cfRule>
  </conditionalFormatting>
  <conditionalFormatting sqref="Y72">
    <cfRule type="cellIs" dxfId="0" priority="210" operator="lessThanOrEqual">
      <formula>I72</formula>
    </cfRule>
  </conditionalFormatting>
  <conditionalFormatting sqref="Y74">
    <cfRule type="cellIs" dxfId="0" priority="212" operator="lessThanOrEqual">
      <formula>I74</formula>
    </cfRule>
  </conditionalFormatting>
  <conditionalFormatting sqref="Y75">
    <cfRule type="cellIs" dxfId="0" priority="214" operator="lessThanOrEqual">
      <formula>I75</formula>
    </cfRule>
  </conditionalFormatting>
  <conditionalFormatting sqref="Y76">
    <cfRule type="cellIs" dxfId="0" priority="216" operator="lessThanOrEqual">
      <formula>I76</formula>
    </cfRule>
  </conditionalFormatting>
  <conditionalFormatting sqref="Y78">
    <cfRule type="cellIs" dxfId="0" priority="218" operator="lessThanOrEqual">
      <formula>I78</formula>
    </cfRule>
  </conditionalFormatting>
  <conditionalFormatting sqref="Y9">
    <cfRule type="cellIs" dxfId="0" priority="150" operator="lessThanOrEqual">
      <formula>I9</formula>
    </cfRule>
  </conditionalFormatting>
  <hyperlinks>
    <hyperlink ref="O7" r:id="rId1"/>
    <hyperlink ref="U7" r:id="rId2"/>
    <hyperlink ref="AA7" r:id="rId3"/>
    <hyperlink ref="O9" r:id="rId4"/>
    <hyperlink ref="U9" r:id="rId5"/>
    <hyperlink ref="AA9" r:id="rId6"/>
    <hyperlink ref="O10" r:id="rId7"/>
    <hyperlink ref="U10" r:id="rId8"/>
    <hyperlink ref="AA10" r:id="rId9"/>
    <hyperlink ref="O11" r:id="rId10"/>
    <hyperlink ref="O12" r:id="rId11"/>
    <hyperlink ref="U12" r:id="rId12"/>
    <hyperlink ref="AA12" r:id="rId13"/>
    <hyperlink ref="O13" r:id="rId14"/>
    <hyperlink ref="U13" r:id="rId15"/>
    <hyperlink ref="AA13" r:id="rId16"/>
    <hyperlink ref="O14" r:id="rId17"/>
    <hyperlink ref="U14" r:id="rId18"/>
    <hyperlink ref="O15" r:id="rId19"/>
    <hyperlink ref="U15" r:id="rId20"/>
    <hyperlink ref="AA15" r:id="rId21"/>
    <hyperlink ref="O16" r:id="rId22"/>
    <hyperlink ref="U16" r:id="rId23"/>
    <hyperlink ref="O17" r:id="rId24"/>
    <hyperlink ref="U17" r:id="rId25"/>
    <hyperlink ref="AA17" r:id="rId26"/>
    <hyperlink ref="O23" r:id="rId27"/>
    <hyperlink ref="U23" r:id="rId28"/>
    <hyperlink ref="AA23" r:id="rId29"/>
    <hyperlink ref="O24" r:id="rId30"/>
    <hyperlink ref="U24" r:id="rId31"/>
    <hyperlink ref="AA24" r:id="rId32"/>
    <hyperlink ref="O26" r:id="rId33"/>
    <hyperlink ref="U26" r:id="rId34"/>
    <hyperlink ref="AA26" r:id="rId35"/>
    <hyperlink ref="O28" r:id="rId36"/>
    <hyperlink ref="O29" r:id="rId37"/>
    <hyperlink ref="U29" r:id="rId38"/>
    <hyperlink ref="AA29" r:id="rId39"/>
    <hyperlink ref="O30" r:id="rId40"/>
    <hyperlink ref="O32" r:id="rId41"/>
    <hyperlink ref="AA32" r:id="rId42"/>
    <hyperlink ref="O33" r:id="rId43"/>
    <hyperlink ref="U33" r:id="rId44"/>
    <hyperlink ref="AA33" r:id="rId45"/>
    <hyperlink ref="O35" r:id="rId46"/>
    <hyperlink ref="U35" r:id="rId47"/>
    <hyperlink ref="AA35" r:id="rId48"/>
    <hyperlink ref="O36" r:id="rId49"/>
    <hyperlink ref="AA36" r:id="rId50"/>
    <hyperlink ref="O38" r:id="rId51"/>
    <hyperlink ref="U38" r:id="rId52"/>
    <hyperlink ref="AA38" r:id="rId53"/>
    <hyperlink ref="O39" r:id="rId54"/>
    <hyperlink ref="U39" r:id="rId55"/>
    <hyperlink ref="AA39" r:id="rId56"/>
    <hyperlink ref="O40" r:id="rId57"/>
    <hyperlink ref="U40" r:id="rId58"/>
    <hyperlink ref="O41" r:id="rId59"/>
    <hyperlink ref="U41" r:id="rId60"/>
    <hyperlink ref="AA41" r:id="rId61"/>
    <hyperlink ref="O42" r:id="rId62"/>
    <hyperlink ref="O44" r:id="rId63"/>
    <hyperlink ref="O48" r:id="rId64"/>
    <hyperlink ref="U48" r:id="rId65"/>
    <hyperlink ref="AA48" r:id="rId66"/>
    <hyperlink ref="O49" r:id="rId67"/>
    <hyperlink ref="O50" r:id="rId68"/>
    <hyperlink ref="U50" r:id="rId69"/>
    <hyperlink ref="AA50" r:id="rId70"/>
    <hyperlink ref="O51" r:id="rId71"/>
    <hyperlink ref="U51" r:id="rId72"/>
    <hyperlink ref="AA51" r:id="rId73"/>
    <hyperlink ref="O52" r:id="rId74"/>
    <hyperlink ref="AA52" r:id="rId75"/>
    <hyperlink ref="O53" r:id="rId76"/>
    <hyperlink ref="AA53" r:id="rId77"/>
    <hyperlink ref="O54" r:id="rId78"/>
    <hyperlink ref="AA54" r:id="rId79"/>
    <hyperlink ref="O56" r:id="rId80"/>
    <hyperlink ref="AA56" r:id="rId81"/>
    <hyperlink ref="O57" r:id="rId82"/>
    <hyperlink ref="AA57" r:id="rId83"/>
    <hyperlink ref="O58" r:id="rId84"/>
    <hyperlink ref="AA58" r:id="rId85"/>
    <hyperlink ref="O60" r:id="rId86"/>
    <hyperlink ref="AA60" r:id="rId87"/>
    <hyperlink ref="O61" r:id="rId88"/>
    <hyperlink ref="AA61" r:id="rId89"/>
    <hyperlink ref="O63" r:id="rId90"/>
    <hyperlink ref="AA63" r:id="rId91"/>
    <hyperlink ref="O66" r:id="rId92"/>
    <hyperlink ref="O67" r:id="rId93"/>
    <hyperlink ref="O68" r:id="rId94"/>
    <hyperlink ref="O69" r:id="rId95"/>
    <hyperlink ref="O70" r:id="rId96"/>
    <hyperlink ref="AA70" r:id="rId97"/>
    <hyperlink ref="O71" r:id="rId98"/>
    <hyperlink ref="AA71" r:id="rId99"/>
    <hyperlink ref="O72" r:id="rId100"/>
    <hyperlink ref="AA72" r:id="rId101"/>
    <hyperlink ref="O73" r:id="rId102"/>
    <hyperlink ref="O74" r:id="rId103"/>
    <hyperlink ref="AA74" r:id="rId104"/>
    <hyperlink ref="O75" r:id="rId105"/>
    <hyperlink ref="AA75" r:id="rId106"/>
    <hyperlink ref="O76" r:id="rId107"/>
    <hyperlink ref="AA76" r:id="rId108"/>
    <hyperlink ref="O78" r:id="rId109"/>
    <hyperlink ref="AA78" r:id="rId110"/>
  </hyperlinks>
  <pageMargins left="0.7" right="0.7" top="0.75" bottom="0.75" header="0.3" footer="0.3"/>
  <legacyDrawing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power-board. 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2017-09-02T21:53:31Z</dcterms:created>
  <dcterms:modified xsi:type="dcterms:W3CDTF">2017-09-02T21:53:31Z</dcterms:modified>
</cp:coreProperties>
</file>