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Programming/Flutter/roth_analysis/test/results/"/>
    </mc:Choice>
  </mc:AlternateContent>
  <xr:revisionPtr revIDLastSave="0" documentId="13_ncr:9_{E5487102-4522-AA40-8F7F-BD28711939BA}" xr6:coauthVersionLast="47" xr6:coauthVersionMax="47" xr10:uidLastSave="{00000000-0000-0000-0000-000000000000}"/>
  <bookViews>
    <workbookView xWindow="1520" yWindow="1460" windowWidth="28040" windowHeight="17440" xr2:uid="{223EED56-2B94-0F4F-AE7C-0825DF1F1204}"/>
  </bookViews>
  <sheets>
    <sheet name="MarriedFixedConversionSuffici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8" i="1" l="1"/>
  <c r="J462" i="1" s="1"/>
  <c r="L457" i="1"/>
  <c r="J457" i="1"/>
  <c r="L456" i="1"/>
  <c r="J456" i="1"/>
  <c r="L455" i="1"/>
  <c r="J455" i="1"/>
  <c r="L454" i="1"/>
  <c r="J454" i="1"/>
  <c r="L453" i="1"/>
  <c r="J453" i="1"/>
  <c r="L452" i="1"/>
  <c r="J452" i="1"/>
  <c r="L451" i="1"/>
  <c r="J451" i="1"/>
  <c r="L450" i="1"/>
  <c r="K450" i="1"/>
  <c r="J450" i="1"/>
  <c r="J418" i="1"/>
  <c r="J419" i="1" s="1"/>
  <c r="K419" i="1" s="1"/>
  <c r="L417" i="1"/>
  <c r="J417" i="1"/>
  <c r="L416" i="1"/>
  <c r="J416" i="1"/>
  <c r="L415" i="1"/>
  <c r="J415" i="1"/>
  <c r="L414" i="1"/>
  <c r="M422" i="1" s="1"/>
  <c r="J414" i="1"/>
  <c r="L413" i="1"/>
  <c r="J413" i="1"/>
  <c r="L412" i="1"/>
  <c r="J412" i="1"/>
  <c r="L411" i="1"/>
  <c r="J411" i="1"/>
  <c r="L410" i="1"/>
  <c r="K410" i="1"/>
  <c r="J410" i="1"/>
  <c r="J354" i="1"/>
  <c r="J358" i="1" s="1"/>
  <c r="L353" i="1"/>
  <c r="J353" i="1"/>
  <c r="L352" i="1"/>
  <c r="J352" i="1"/>
  <c r="L351" i="1"/>
  <c r="J351" i="1"/>
  <c r="L350" i="1"/>
  <c r="M358" i="1" s="1"/>
  <c r="J350" i="1"/>
  <c r="L349" i="1"/>
  <c r="J349" i="1"/>
  <c r="L348" i="1"/>
  <c r="J348" i="1"/>
  <c r="L347" i="1"/>
  <c r="J347" i="1"/>
  <c r="L346" i="1"/>
  <c r="K346" i="1"/>
  <c r="J346" i="1"/>
  <c r="J314" i="1"/>
  <c r="J318" i="1" s="1"/>
  <c r="L313" i="1"/>
  <c r="J313" i="1"/>
  <c r="L312" i="1"/>
  <c r="J312" i="1"/>
  <c r="L311" i="1"/>
  <c r="J311" i="1"/>
  <c r="L310" i="1"/>
  <c r="M318" i="1" s="1"/>
  <c r="J310" i="1"/>
  <c r="L309" i="1"/>
  <c r="J309" i="1"/>
  <c r="L308" i="1"/>
  <c r="L318" i="1" s="1"/>
  <c r="J308" i="1"/>
  <c r="L307" i="1"/>
  <c r="J307" i="1"/>
  <c r="L306" i="1"/>
  <c r="K306" i="1"/>
  <c r="J306" i="1"/>
  <c r="J274" i="1"/>
  <c r="J278" i="1" s="1"/>
  <c r="L273" i="1"/>
  <c r="J273" i="1"/>
  <c r="L272" i="1"/>
  <c r="J272" i="1"/>
  <c r="L271" i="1"/>
  <c r="J271" i="1"/>
  <c r="L270" i="1"/>
  <c r="J270" i="1"/>
  <c r="L269" i="1"/>
  <c r="J269" i="1"/>
  <c r="L268" i="1"/>
  <c r="L278" i="1" s="1"/>
  <c r="J268" i="1"/>
  <c r="L267" i="1"/>
  <c r="J267" i="1"/>
  <c r="L266" i="1"/>
  <c r="K266" i="1"/>
  <c r="J266" i="1"/>
  <c r="J234" i="1"/>
  <c r="J238" i="1" s="1"/>
  <c r="L233" i="1"/>
  <c r="J233" i="1"/>
  <c r="L232" i="1"/>
  <c r="J232" i="1"/>
  <c r="L231" i="1"/>
  <c r="J231" i="1"/>
  <c r="L230" i="1"/>
  <c r="J230" i="1"/>
  <c r="L229" i="1"/>
  <c r="J229" i="1"/>
  <c r="L228" i="1"/>
  <c r="L238" i="1" s="1"/>
  <c r="J228" i="1"/>
  <c r="L227" i="1"/>
  <c r="J227" i="1"/>
  <c r="L226" i="1"/>
  <c r="K226" i="1"/>
  <c r="J226" i="1"/>
  <c r="J194" i="1"/>
  <c r="J195" i="1" s="1"/>
  <c r="K195" i="1" s="1"/>
  <c r="L193" i="1"/>
  <c r="J193" i="1"/>
  <c r="L192" i="1"/>
  <c r="J192" i="1"/>
  <c r="L191" i="1"/>
  <c r="J191" i="1"/>
  <c r="L190" i="1"/>
  <c r="M198" i="1" s="1"/>
  <c r="J190" i="1"/>
  <c r="L189" i="1"/>
  <c r="J189" i="1"/>
  <c r="L188" i="1"/>
  <c r="J188" i="1"/>
  <c r="L187" i="1"/>
  <c r="J187" i="1"/>
  <c r="L186" i="1"/>
  <c r="K186" i="1"/>
  <c r="J186" i="1"/>
  <c r="J154" i="1"/>
  <c r="J158" i="1" s="1"/>
  <c r="L153" i="1"/>
  <c r="J153" i="1"/>
  <c r="L152" i="1"/>
  <c r="J152" i="1"/>
  <c r="L151" i="1"/>
  <c r="J151" i="1"/>
  <c r="L150" i="1"/>
  <c r="M158" i="1" s="1"/>
  <c r="J150" i="1"/>
  <c r="L149" i="1"/>
  <c r="J149" i="1"/>
  <c r="L148" i="1"/>
  <c r="J148" i="1"/>
  <c r="L147" i="1"/>
  <c r="J147" i="1"/>
  <c r="L146" i="1"/>
  <c r="K146" i="1"/>
  <c r="J146" i="1"/>
  <c r="J114" i="1"/>
  <c r="J118" i="1" s="1"/>
  <c r="L113" i="1"/>
  <c r="J113" i="1"/>
  <c r="L112" i="1"/>
  <c r="J112" i="1"/>
  <c r="L111" i="1"/>
  <c r="J111" i="1"/>
  <c r="L110" i="1"/>
  <c r="M118" i="1" s="1"/>
  <c r="J110" i="1"/>
  <c r="L109" i="1"/>
  <c r="J109" i="1"/>
  <c r="L108" i="1"/>
  <c r="J108" i="1"/>
  <c r="L107" i="1"/>
  <c r="J107" i="1"/>
  <c r="L106" i="1"/>
  <c r="K106" i="1"/>
  <c r="J106" i="1"/>
  <c r="J74" i="1"/>
  <c r="J78" i="1" s="1"/>
  <c r="L73" i="1"/>
  <c r="J73" i="1"/>
  <c r="L72" i="1"/>
  <c r="J72" i="1"/>
  <c r="L71" i="1"/>
  <c r="J71" i="1"/>
  <c r="L70" i="1"/>
  <c r="J70" i="1"/>
  <c r="L69" i="1"/>
  <c r="J69" i="1"/>
  <c r="L68" i="1"/>
  <c r="L78" i="1" s="1"/>
  <c r="J68" i="1"/>
  <c r="L67" i="1"/>
  <c r="J67" i="1"/>
  <c r="L66" i="1"/>
  <c r="K66" i="1"/>
  <c r="J66" i="1"/>
  <c r="L33" i="1"/>
  <c r="L32" i="1"/>
  <c r="L31" i="1"/>
  <c r="J34" i="1"/>
  <c r="K34" i="1" s="1"/>
  <c r="J33" i="1"/>
  <c r="J32" i="1"/>
  <c r="J31" i="1"/>
  <c r="L30" i="1"/>
  <c r="J30" i="1"/>
  <c r="M30" i="1" s="1"/>
  <c r="L29" i="1"/>
  <c r="J29" i="1"/>
  <c r="L28" i="1"/>
  <c r="J28" i="1"/>
  <c r="M28" i="1" s="1"/>
  <c r="L27" i="1"/>
  <c r="J27" i="1"/>
  <c r="L26" i="1"/>
  <c r="K26" i="1"/>
  <c r="J26" i="1"/>
  <c r="M462" i="1" l="1"/>
  <c r="M31" i="1"/>
  <c r="M71" i="1" s="1"/>
  <c r="L462" i="1"/>
  <c r="O462" i="1" s="1"/>
  <c r="K458" i="1"/>
  <c r="J459" i="1"/>
  <c r="K459" i="1" s="1"/>
  <c r="M33" i="1"/>
  <c r="M73" i="1" s="1"/>
  <c r="M113" i="1" s="1"/>
  <c r="M153" i="1" s="1"/>
  <c r="M193" i="1" s="1"/>
  <c r="M233" i="1" s="1"/>
  <c r="M273" i="1" s="1"/>
  <c r="M313" i="1" s="1"/>
  <c r="M353" i="1" s="1"/>
  <c r="M417" i="1" s="1"/>
  <c r="M457" i="1" s="1"/>
  <c r="M32" i="1"/>
  <c r="M72" i="1" s="1"/>
  <c r="J38" i="1"/>
  <c r="M70" i="1"/>
  <c r="M110" i="1" s="1"/>
  <c r="M150" i="1" s="1"/>
  <c r="M190" i="1" s="1"/>
  <c r="M230" i="1" s="1"/>
  <c r="M270" i="1" s="1"/>
  <c r="M310" i="1" s="1"/>
  <c r="M350" i="1" s="1"/>
  <c r="M414" i="1" s="1"/>
  <c r="M454" i="1" s="1"/>
  <c r="M26" i="1"/>
  <c r="M66" i="1" s="1"/>
  <c r="M106" i="1" s="1"/>
  <c r="M146" i="1" s="1"/>
  <c r="M186" i="1" s="1"/>
  <c r="M226" i="1" s="1"/>
  <c r="M266" i="1" s="1"/>
  <c r="M306" i="1" s="1"/>
  <c r="M346" i="1" s="1"/>
  <c r="M410" i="1" s="1"/>
  <c r="M450" i="1" s="1"/>
  <c r="M68" i="1"/>
  <c r="L358" i="1"/>
  <c r="O358" i="1" s="1"/>
  <c r="L158" i="1"/>
  <c r="O158" i="1" s="1"/>
  <c r="M278" i="1"/>
  <c r="M238" i="1"/>
  <c r="O238" i="1" s="1"/>
  <c r="L422" i="1"/>
  <c r="K418" i="1"/>
  <c r="J422" i="1"/>
  <c r="O422" i="1" s="1"/>
  <c r="K354" i="1"/>
  <c r="J355" i="1"/>
  <c r="K355" i="1" s="1"/>
  <c r="O318" i="1"/>
  <c r="K314" i="1"/>
  <c r="J315" i="1"/>
  <c r="K315" i="1" s="1"/>
  <c r="O278" i="1"/>
  <c r="K274" i="1"/>
  <c r="J275" i="1"/>
  <c r="K275" i="1" s="1"/>
  <c r="K234" i="1"/>
  <c r="J235" i="1"/>
  <c r="K235" i="1" s="1"/>
  <c r="M108" i="1"/>
  <c r="M148" i="1" s="1"/>
  <c r="M188" i="1" s="1"/>
  <c r="M228" i="1" s="1"/>
  <c r="M268" i="1" s="1"/>
  <c r="M308" i="1" s="1"/>
  <c r="M348" i="1" s="1"/>
  <c r="M412" i="1" s="1"/>
  <c r="M452" i="1" s="1"/>
  <c r="L118" i="1"/>
  <c r="O118" i="1" s="1"/>
  <c r="L38" i="1"/>
  <c r="M111" i="1"/>
  <c r="M151" i="1" s="1"/>
  <c r="M191" i="1" s="1"/>
  <c r="M231" i="1" s="1"/>
  <c r="M271" i="1" s="1"/>
  <c r="M311" i="1" s="1"/>
  <c r="M351" i="1" s="1"/>
  <c r="M415" i="1" s="1"/>
  <c r="M455" i="1" s="1"/>
  <c r="M27" i="1"/>
  <c r="M67" i="1" s="1"/>
  <c r="M107" i="1" s="1"/>
  <c r="M147" i="1" s="1"/>
  <c r="M187" i="1" s="1"/>
  <c r="M227" i="1" s="1"/>
  <c r="M267" i="1" s="1"/>
  <c r="M307" i="1" s="1"/>
  <c r="M347" i="1" s="1"/>
  <c r="M411" i="1" s="1"/>
  <c r="M451" i="1" s="1"/>
  <c r="M78" i="1"/>
  <c r="O78" i="1" s="1"/>
  <c r="M112" i="1"/>
  <c r="M152" i="1" s="1"/>
  <c r="M192" i="1" s="1"/>
  <c r="M232" i="1" s="1"/>
  <c r="M272" i="1" s="1"/>
  <c r="M312" i="1" s="1"/>
  <c r="M352" i="1" s="1"/>
  <c r="M416" i="1" s="1"/>
  <c r="M456" i="1" s="1"/>
  <c r="L198" i="1"/>
  <c r="J198" i="1"/>
  <c r="K194" i="1"/>
  <c r="K154" i="1"/>
  <c r="J155" i="1"/>
  <c r="K155" i="1" s="1"/>
  <c r="K114" i="1"/>
  <c r="J115" i="1"/>
  <c r="K115" i="1" s="1"/>
  <c r="K74" i="1"/>
  <c r="J75" i="1"/>
  <c r="K75" i="1" s="1"/>
  <c r="M38" i="1"/>
  <c r="M29" i="1"/>
  <c r="M69" i="1" s="1"/>
  <c r="M109" i="1" s="1"/>
  <c r="M149" i="1" s="1"/>
  <c r="M189" i="1" s="1"/>
  <c r="M229" i="1" s="1"/>
  <c r="M269" i="1" s="1"/>
  <c r="M309" i="1" s="1"/>
  <c r="M349" i="1" s="1"/>
  <c r="M413" i="1" s="1"/>
  <c r="M453" i="1" s="1"/>
  <c r="J35" i="1"/>
  <c r="K35" i="1" s="1"/>
  <c r="O38" i="1" l="1"/>
  <c r="O198" i="1"/>
</calcChain>
</file>

<file path=xl/sharedStrings.xml><?xml version="1.0" encoding="utf-8"?>
<sst xmlns="http://schemas.openxmlformats.org/spreadsheetml/2006/main" count="1862" uniqueCount="181">
  <si>
    <t>Date</t>
  </si>
  <si>
    <t xml:space="preserve"> Type</t>
  </si>
  <si>
    <t xml:space="preserve"> Account</t>
  </si>
  <si>
    <t xml:space="preserve"> Amount</t>
  </si>
  <si>
    <t xml:space="preserve"> Balance</t>
  </si>
  <si>
    <t xml:space="preserve"> Memo</t>
  </si>
  <si>
    <t>2025/01</t>
  </si>
  <si>
    <t>Withdraw</t>
  </si>
  <si>
    <t>IRA</t>
  </si>
  <si>
    <t>Monthly ROTH conversion</t>
  </si>
  <si>
    <t>Deposit</t>
  </si>
  <si>
    <t>Roth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</si>
  <si>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</si>
  <si>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</si>
  <si>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</si>
  <si>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</si>
  <si>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</si>
  <si>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</si>
  <si>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</si>
  <si>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</si>
  <si>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</si>
  <si>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</si>
  <si>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</si>
  <si>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2025/00</t>
  </si>
  <si>
    <t>AccountInfo</t>
  </si>
  <si>
    <t>Savings</t>
  </si>
  <si>
    <t>Account balance</t>
  </si>
  <si>
    <t>Savings2</t>
  </si>
  <si>
    <t>Brokerage</t>
  </si>
  <si>
    <t>Brokerage2</t>
  </si>
  <si>
    <t>IRA2</t>
  </si>
  <si>
    <t>Roth2</t>
  </si>
  <si>
    <t>TaxInfo</t>
  </si>
  <si>
    <t>FICA</t>
  </si>
  <si>
    <t>FICA Tax</t>
  </si>
  <si>
    <t>Medicare</t>
  </si>
  <si>
    <t>Medicare Tax</t>
  </si>
  <si>
    <t>IRMAA</t>
  </si>
  <si>
    <t>IRMAA Tax</t>
  </si>
  <si>
    <t>CapGins</t>
  </si>
  <si>
    <t>Capital Gains Income</t>
  </si>
  <si>
    <t>AGI</t>
  </si>
  <si>
    <t>Adjusted Gross Income</t>
  </si>
  <si>
    <t>FederalTax</t>
  </si>
  <si>
    <t>Federal income tax</t>
  </si>
  <si>
    <t>StateTax</t>
  </si>
  <si>
    <t>State income tax</t>
  </si>
  <si>
    <t>LocalTax</t>
  </si>
  <si>
    <t>Local income tax</t>
  </si>
  <si>
    <t>2026/01</t>
  </si>
  <si>
    <t>2026/02</t>
  </si>
  <si>
    <t>2026/03</t>
  </si>
  <si>
    <t>2026/04</t>
  </si>
  <si>
    <t>2026/05</t>
  </si>
  <si>
    <t>2026/06</t>
  </si>
  <si>
    <t>2026/07</t>
  </si>
  <si>
    <t>2026/08</t>
  </si>
  <si>
    <t>2026/09</t>
  </si>
  <si>
    <t>2026/10</t>
  </si>
  <si>
    <t>2026/11</t>
  </si>
  <si>
    <t>2026/12</t>
  </si>
  <si>
    <t>2026/00</t>
  </si>
  <si>
    <t>2027/01</t>
  </si>
  <si>
    <t>2027/02</t>
  </si>
  <si>
    <t>2027/03</t>
  </si>
  <si>
    <t>2027/04</t>
  </si>
  <si>
    <t>2027/05</t>
  </si>
  <si>
    <t>2027/06</t>
  </si>
  <si>
    <t>2027/07</t>
  </si>
  <si>
    <t>2027/08</t>
  </si>
  <si>
    <t>2027/09</t>
  </si>
  <si>
    <t>2027/10</t>
  </si>
  <si>
    <t>2027/11</t>
  </si>
  <si>
    <t>2027/12</t>
  </si>
  <si>
    <t>2027/00</t>
  </si>
  <si>
    <t>2028/01</t>
  </si>
  <si>
    <t>2028/02</t>
  </si>
  <si>
    <t>2028/03</t>
  </si>
  <si>
    <t>2028/04</t>
  </si>
  <si>
    <t>2028/05</t>
  </si>
  <si>
    <t>2028/06</t>
  </si>
  <si>
    <t>2028/07</t>
  </si>
  <si>
    <t>2028/08</t>
  </si>
  <si>
    <t>2028/09</t>
  </si>
  <si>
    <t>2028/10</t>
  </si>
  <si>
    <t>2028/11</t>
  </si>
  <si>
    <t>2028/12</t>
  </si>
  <si>
    <t>2028/00</t>
  </si>
  <si>
    <t>2029/01</t>
  </si>
  <si>
    <t>2029/02</t>
  </si>
  <si>
    <t>2029/03</t>
  </si>
  <si>
    <t>2029/04</t>
  </si>
  <si>
    <t>2029/05</t>
  </si>
  <si>
    <t>2029/06</t>
  </si>
  <si>
    <t>2029/07</t>
  </si>
  <si>
    <t>2029/08</t>
  </si>
  <si>
    <t>2029/09</t>
  </si>
  <si>
    <t>2029/10</t>
  </si>
  <si>
    <t>2029/11</t>
  </si>
  <si>
    <t>2029/12</t>
  </si>
  <si>
    <t>2029/00</t>
  </si>
  <si>
    <t>2030/00</t>
  </si>
  <si>
    <t>2031/00</t>
  </si>
  <si>
    <t>2032/00</t>
  </si>
  <si>
    <t>2033/00</t>
  </si>
  <si>
    <t>2034/01</t>
  </si>
  <si>
    <t>RMD Withdraw</t>
  </si>
  <si>
    <t>RMD fully allocated into long-term investments</t>
  </si>
  <si>
    <t>2034/02</t>
  </si>
  <si>
    <t>2034/03</t>
  </si>
  <si>
    <t>2034/04</t>
  </si>
  <si>
    <t>2034/05</t>
  </si>
  <si>
    <t>2034/06</t>
  </si>
  <si>
    <t>2034/07</t>
  </si>
  <si>
    <t>2034/08</t>
  </si>
  <si>
    <t>2034/09</t>
  </si>
  <si>
    <t>2034/10</t>
  </si>
  <si>
    <t>2034/11</t>
  </si>
  <si>
    <t>2034/12</t>
  </si>
  <si>
    <t>2034/00</t>
  </si>
  <si>
    <t>2035/01</t>
  </si>
  <si>
    <t>2035/02</t>
  </si>
  <si>
    <t>2035/03</t>
  </si>
  <si>
    <t>2035/04</t>
  </si>
  <si>
    <t>2035/05</t>
  </si>
  <si>
    <t>2035/06</t>
  </si>
  <si>
    <t>2035/07</t>
  </si>
  <si>
    <t>2035/08</t>
  </si>
  <si>
    <t>2035/09</t>
  </si>
  <si>
    <t>2035/10</t>
  </si>
  <si>
    <t>2035/11</t>
  </si>
  <si>
    <t>2035/12</t>
  </si>
  <si>
    <t>2035/00</t>
  </si>
  <si>
    <t>2030/01</t>
  </si>
  <si>
    <t>2030/02</t>
  </si>
  <si>
    <t>2030/03</t>
  </si>
  <si>
    <t>2030/04</t>
  </si>
  <si>
    <t>2030/05</t>
  </si>
  <si>
    <t>2030/06</t>
  </si>
  <si>
    <t>2030/07</t>
  </si>
  <si>
    <t>2030/08</t>
  </si>
  <si>
    <t>2030/09</t>
  </si>
  <si>
    <t>2030/10</t>
  </si>
  <si>
    <t>2030/11</t>
  </si>
  <si>
    <t>2030/12</t>
  </si>
  <si>
    <t>2031/01</t>
  </si>
  <si>
    <t>2031/02</t>
  </si>
  <si>
    <t>2031/03</t>
  </si>
  <si>
    <t>2031/04</t>
  </si>
  <si>
    <t>2031/05</t>
  </si>
  <si>
    <t>2031/06</t>
  </si>
  <si>
    <t>2031/07</t>
  </si>
  <si>
    <t>2031/08</t>
  </si>
  <si>
    <t>2031/09</t>
  </si>
  <si>
    <t>2031/10</t>
  </si>
  <si>
    <t>2031/11</t>
  </si>
  <si>
    <t>2031/12</t>
  </si>
  <si>
    <t>2032/01</t>
  </si>
  <si>
    <t>2032/02</t>
  </si>
  <si>
    <t>2032/03</t>
  </si>
  <si>
    <t>2032/04</t>
  </si>
  <si>
    <t>2032/05</t>
  </si>
  <si>
    <t>2032/06</t>
  </si>
  <si>
    <t>2032/07</t>
  </si>
  <si>
    <t>2032/08</t>
  </si>
  <si>
    <t>2032/09</t>
  </si>
  <si>
    <t>2032/10</t>
  </si>
  <si>
    <t>2032/11</t>
  </si>
  <si>
    <t>2032/12</t>
  </si>
  <si>
    <t>2033/01</t>
  </si>
  <si>
    <t>2033/02</t>
  </si>
  <si>
    <t>2033/03</t>
  </si>
  <si>
    <t>2033/04</t>
  </si>
  <si>
    <t>2033/05</t>
  </si>
  <si>
    <t>2033/06</t>
  </si>
  <si>
    <t>2033/07</t>
  </si>
  <si>
    <t>2033/08</t>
  </si>
  <si>
    <t>2033/09</t>
  </si>
  <si>
    <t>2033/10</t>
  </si>
  <si>
    <t>2033/11</t>
  </si>
  <si>
    <t>2033/12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</si>
</sst>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740A-5132-3E44-A475-60AD6084644F}">
  <dimension ref="A1:O465"/>
  <sheetViews>
    <sheetView tabSelected="1" topLeftCell="A186" workbookViewId="0">
      <selection activeCell="A2" sqref="A2:F465"/>
    </sheetView>
  </sheetViews>
  <sheetFormatPr baseColWidth="10" defaultRowHeight="16" x14ac:dyDescent="0.2"/>
  <cols>
    <col min="7" max="7" width="28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2000</v>
      </c>
      <c r="E2">
        <v>118000</v>
      </c>
      <c r="F2" t="s">
        <v>9</v>
      </c>
    </row>
    <row r="3" spans="1:6" x14ac:dyDescent="0.2">
      <c r="A3" t="s">
        <v>6</v>
      </c>
      <c r="B3" t="s">
        <v>10</v>
      </c>
      <c r="C3" t="s">
        <v>11</v>
      </c>
      <c r="D3">
        <v>2000</v>
      </c>
      <c r="E3">
        <v>12000</v>
      </c>
      <c r="F3" t="s">
        <v>9</v>
      </c>
    </row>
    <row r="4" spans="1:6" x14ac:dyDescent="0.2">
      <c r="A4" t="s">
        <v>12</v>
      </c>
      <c r="B4" t="s">
        <v>7</v>
      </c>
      <c r="C4" t="s">
        <v>8</v>
      </c>
      <c r="D4">
        <v>2000</v>
      </c>
      <c r="E4">
        <v>116000</v>
      </c>
      <c r="F4" t="s">
        <v>9</v>
      </c>
    </row>
    <row r="5" spans="1:6" x14ac:dyDescent="0.2">
      <c r="A5" t="s">
        <v>12</v>
      </c>
      <c r="B5" t="s">
        <v>10</v>
      </c>
      <c r="C5" t="s">
        <v>11</v>
      </c>
      <c r="D5">
        <v>2000</v>
      </c>
      <c r="E5">
        <v>14000</v>
      </c>
      <c r="F5" t="s">
        <v>9</v>
      </c>
    </row>
    <row r="6" spans="1:6" x14ac:dyDescent="0.2">
      <c r="A6" t="s">
        <v>13</v>
      </c>
      <c r="B6" t="s">
        <v>7</v>
      </c>
      <c r="C6" t="s">
        <v>8</v>
      </c>
      <c r="D6">
        <v>2000</v>
      </c>
      <c r="E6">
        <v>114000</v>
      </c>
      <c r="F6" t="s">
        <v>9</v>
      </c>
    </row>
    <row r="7" spans="1:6" x14ac:dyDescent="0.2">
      <c r="A7" t="s">
        <v>13</v>
      </c>
      <c r="B7" t="s">
        <v>10</v>
      </c>
      <c r="C7" t="s">
        <v>11</v>
      </c>
      <c r="D7">
        <v>2000</v>
      </c>
      <c r="E7">
        <v>16000</v>
      </c>
      <c r="F7" t="s">
        <v>9</v>
      </c>
    </row>
    <row r="8" spans="1:6" x14ac:dyDescent="0.2">
      <c r="A8" t="s">
        <v>14</v>
      </c>
      <c r="B8" t="s">
        <v>7</v>
      </c>
      <c r="C8" t="s">
        <v>8</v>
      </c>
      <c r="D8">
        <v>2000</v>
      </c>
      <c r="E8">
        <v>112000</v>
      </c>
      <c r="F8" t="s">
        <v>9</v>
      </c>
    </row>
    <row r="9" spans="1:6" x14ac:dyDescent="0.2">
      <c r="A9" t="s">
        <v>14</v>
      </c>
      <c r="B9" t="s">
        <v>10</v>
      </c>
      <c r="C9" t="s">
        <v>11</v>
      </c>
      <c r="D9">
        <v>2000</v>
      </c>
      <c r="E9">
        <v>18000</v>
      </c>
      <c r="F9" t="s">
        <v>9</v>
      </c>
    </row>
    <row r="10" spans="1:6" x14ac:dyDescent="0.2">
      <c r="A10" t="s">
        <v>15</v>
      </c>
      <c r="B10" t="s">
        <v>7</v>
      </c>
      <c r="C10" t="s">
        <v>8</v>
      </c>
      <c r="D10">
        <v>2000</v>
      </c>
      <c r="E10">
        <v>110000</v>
      </c>
      <c r="F10" t="s">
        <v>9</v>
      </c>
    </row>
    <row r="11" spans="1:6" x14ac:dyDescent="0.2">
      <c r="A11" t="s">
        <v>15</v>
      </c>
      <c r="B11" t="s">
        <v>10</v>
      </c>
      <c r="C11" t="s">
        <v>11</v>
      </c>
      <c r="D11">
        <v>2000</v>
      </c>
      <c r="E11">
        <v>20000</v>
      </c>
      <c r="F11" t="s">
        <v>9</v>
      </c>
    </row>
    <row r="12" spans="1:6" x14ac:dyDescent="0.2">
      <c r="A12" t="s">
        <v>16</v>
      </c>
      <c r="B12" t="s">
        <v>7</v>
      </c>
      <c r="C12" t="s">
        <v>8</v>
      </c>
      <c r="D12">
        <v>2000</v>
      </c>
      <c r="E12">
        <v>108000</v>
      </c>
      <c r="F12" t="s">
        <v>9</v>
      </c>
    </row>
    <row r="13" spans="1:6" x14ac:dyDescent="0.2">
      <c r="A13" t="s">
        <v>16</v>
      </c>
      <c r="B13" t="s">
        <v>10</v>
      </c>
      <c r="C13" t="s">
        <v>11</v>
      </c>
      <c r="D13">
        <v>2000</v>
      </c>
      <c r="E13">
        <v>22000</v>
      </c>
      <c r="F13" t="s">
        <v>9</v>
      </c>
    </row>
    <row r="14" spans="1:6" x14ac:dyDescent="0.2">
      <c r="A14" t="s">
        <v>17</v>
      </c>
      <c r="B14" t="s">
        <v>7</v>
      </c>
      <c r="C14" t="s">
        <v>8</v>
      </c>
      <c r="D14">
        <v>2000</v>
      </c>
      <c r="E14">
        <v>106000</v>
      </c>
      <c r="F14" t="s">
        <v>9</v>
      </c>
    </row>
    <row r="15" spans="1:6" x14ac:dyDescent="0.2">
      <c r="A15" t="s">
        <v>17</v>
      </c>
      <c r="B15" t="s">
        <v>10</v>
      </c>
      <c r="C15" t="s">
        <v>11</v>
      </c>
      <c r="D15">
        <v>2000</v>
      </c>
      <c r="E15">
        <v>24000</v>
      </c>
      <c r="F15" t="s">
        <v>9</v>
      </c>
    </row>
    <row r="16" spans="1:6" x14ac:dyDescent="0.2">
      <c r="A16" t="s">
        <v>18</v>
      </c>
      <c r="B16" t="s">
        <v>7</v>
      </c>
      <c r="C16" t="s">
        <v>8</v>
      </c>
      <c r="D16">
        <v>2000</v>
      </c>
      <c r="E16">
        <v>104000</v>
      </c>
      <c r="F16" t="s">
        <v>9</v>
      </c>
    </row>
    <row r="17" spans="1:13" x14ac:dyDescent="0.2">
      <c r="A17" t="s">
        <v>18</v>
      </c>
      <c r="B17" t="s">
        <v>10</v>
      </c>
      <c r="C17" t="s">
        <v>11</v>
      </c>
      <c r="D17">
        <v>2000</v>
      </c>
      <c r="E17">
        <v>26000</v>
      </c>
      <c r="F17" t="s">
        <v>9</v>
      </c>
    </row>
    <row r="18" spans="1:13" x14ac:dyDescent="0.2">
      <c r="A18" t="s">
        <v>19</v>
      </c>
      <c r="B18" t="s">
        <v>7</v>
      </c>
      <c r="C18" t="s">
        <v>8</v>
      </c>
      <c r="D18">
        <v>2000</v>
      </c>
      <c r="E18">
        <v>102000</v>
      </c>
      <c r="F18" t="s">
        <v>9</v>
      </c>
    </row>
    <row r="19" spans="1:13" x14ac:dyDescent="0.2">
      <c r="A19" t="s">
        <v>19</v>
      </c>
      <c r="B19" t="s">
        <v>10</v>
      </c>
      <c r="C19" t="s">
        <v>11</v>
      </c>
      <c r="D19">
        <v>2000</v>
      </c>
      <c r="E19">
        <v>28000</v>
      </c>
      <c r="F19" t="s">
        <v>9</v>
      </c>
    </row>
    <row r="20" spans="1:13" x14ac:dyDescent="0.2">
      <c r="A20" t="s">
        <v>20</v>
      </c>
      <c r="B20" t="s">
        <v>7</v>
      </c>
      <c r="C20" t="s">
        <v>8</v>
      </c>
      <c r="D20">
        <v>2000</v>
      </c>
      <c r="E20">
        <v>100000</v>
      </c>
      <c r="F20" t="s">
        <v>9</v>
      </c>
    </row>
    <row r="21" spans="1:13" x14ac:dyDescent="0.2">
      <c r="A21" t="s">
        <v>20</v>
      </c>
      <c r="B21" t="s">
        <v>10</v>
      </c>
      <c r="C21" t="s">
        <v>11</v>
      </c>
      <c r="D21">
        <v>2000</v>
      </c>
      <c r="E21">
        <v>30000</v>
      </c>
      <c r="F21" t="s">
        <v>9</v>
      </c>
    </row>
    <row r="22" spans="1:13" x14ac:dyDescent="0.2">
      <c r="A22" t="s">
        <v>21</v>
      </c>
      <c r="B22" t="s">
        <v>7</v>
      </c>
      <c r="C22" t="s">
        <v>8</v>
      </c>
      <c r="D22">
        <v>2000</v>
      </c>
      <c r="E22">
        <v>98000</v>
      </c>
      <c r="F22" t="s">
        <v>9</v>
      </c>
    </row>
    <row r="23" spans="1:13" x14ac:dyDescent="0.2">
      <c r="A23" t="s">
        <v>21</v>
      </c>
      <c r="B23" t="s">
        <v>10</v>
      </c>
      <c r="C23" t="s">
        <v>11</v>
      </c>
      <c r="D23">
        <v>2000</v>
      </c>
      <c r="E23">
        <v>32000</v>
      </c>
      <c r="F23" t="s">
        <v>9</v>
      </c>
    </row>
    <row r="24" spans="1:13" x14ac:dyDescent="0.2">
      <c r="A24" t="s">
        <v>22</v>
      </c>
      <c r="B24" t="s">
        <v>7</v>
      </c>
      <c r="C24" t="s">
        <v>8</v>
      </c>
      <c r="D24">
        <v>2000</v>
      </c>
      <c r="E24">
        <v>96000</v>
      </c>
      <c r="F24" t="s">
        <v>9</v>
      </c>
    </row>
    <row r="25" spans="1:13" x14ac:dyDescent="0.2">
      <c r="A25" t="s">
        <v>22</v>
      </c>
      <c r="B25" t="s">
        <v>10</v>
      </c>
      <c r="C25" t="s">
        <v>11</v>
      </c>
      <c r="D25">
        <v>2000</v>
      </c>
      <c r="E25">
        <v>34000</v>
      </c>
      <c r="F25" t="s">
        <v>9</v>
      </c>
    </row>
    <row r="26" spans="1:13" x14ac:dyDescent="0.2">
      <c r="A26" t="s">
        <v>23</v>
      </c>
      <c r="B26" t="s">
        <v>24</v>
      </c>
      <c r="C26" t="s">
        <v>25</v>
      </c>
      <c r="E26">
        <v>120000</v>
      </c>
      <c r="F26" t="s">
        <v>26</v>
      </c>
      <c r="J26">
        <f>SUMIFS(D2:D25,B2:B25,"Deposit",C2:C25,"Savings")</f>
        <v>0</v>
      </c>
      <c r="K26">
        <f>SUMIFS(D2:D25,B2:B25,"Payment",C2:C25,"Savings")</f>
        <v>0</v>
      </c>
      <c r="L26">
        <f>SUMIFS(D2:D25,B2:B25,"Withdraw",C2:C25,"Savings")</f>
        <v>0</v>
      </c>
      <c r="M26">
        <f>120000+J26-K26-L26</f>
        <v>120000</v>
      </c>
    </row>
    <row r="27" spans="1:13" x14ac:dyDescent="0.2">
      <c r="A27" t="s">
        <v>23</v>
      </c>
      <c r="B27" t="s">
        <v>24</v>
      </c>
      <c r="C27" t="s">
        <v>27</v>
      </c>
      <c r="E27">
        <v>120000</v>
      </c>
      <c r="F27" t="s">
        <v>26</v>
      </c>
      <c r="J27">
        <f>SUMIFS(D2:D25,B2:B25,"Deposit",C2:C25,"Savings2")</f>
        <v>0</v>
      </c>
      <c r="L27">
        <f>SUMIFS(D2:D25,B2:B25,"Withdraw",C2:C25,"Savings2")</f>
        <v>0</v>
      </c>
      <c r="M27">
        <f>120000+J27-K27-L27</f>
        <v>120000</v>
      </c>
    </row>
    <row r="28" spans="1:13" x14ac:dyDescent="0.2">
      <c r="A28" t="s">
        <v>23</v>
      </c>
      <c r="B28" t="s">
        <v>24</v>
      </c>
      <c r="C28" t="s">
        <v>28</v>
      </c>
      <c r="E28">
        <v>120000</v>
      </c>
      <c r="F28" t="s">
        <v>26</v>
      </c>
      <c r="J28">
        <f>SUMIFS(D2:D25,B2:B25,"Deposit",C2:C25,"Brokerage")</f>
        <v>0</v>
      </c>
      <c r="L28">
        <f>SUMIFS(D2:D25,B2:B25,"Withdraw",C2:C25,"Brokerage")</f>
        <v>0</v>
      </c>
      <c r="M28">
        <f>120000+J28-K28-L28</f>
        <v>120000</v>
      </c>
    </row>
    <row r="29" spans="1:13" x14ac:dyDescent="0.2">
      <c r="A29" t="s">
        <v>23</v>
      </c>
      <c r="B29" t="s">
        <v>24</v>
      </c>
      <c r="C29" t="s">
        <v>29</v>
      </c>
      <c r="E29">
        <v>120000</v>
      </c>
      <c r="F29" t="s">
        <v>26</v>
      </c>
      <c r="J29">
        <f>SUMIFS(D2:D25,B2:B25,"Deposit",C2:C25,"Brokerage2")</f>
        <v>0</v>
      </c>
      <c r="L29">
        <f>SUMIFS(D2:D25,B2:B25,"Withdraw",C2:C25,"Brokerage2")</f>
        <v>0</v>
      </c>
      <c r="M29">
        <f>120000+J29-K29-L29</f>
        <v>120000</v>
      </c>
    </row>
    <row r="30" spans="1:13" x14ac:dyDescent="0.2">
      <c r="A30" t="s">
        <v>23</v>
      </c>
      <c r="B30" t="s">
        <v>24</v>
      </c>
      <c r="C30" t="s">
        <v>8</v>
      </c>
      <c r="E30">
        <v>96000</v>
      </c>
      <c r="F30" t="s">
        <v>26</v>
      </c>
      <c r="J30">
        <f>SUMIFS(D2:D25,B2:B25,"Deposit",C2:C25,"IRA")</f>
        <v>0</v>
      </c>
      <c r="L30">
        <f>SUMIFS(D2:D25,B2:B25,"Withdraw",C2:C25,"IRA")</f>
        <v>24000</v>
      </c>
      <c r="M30">
        <f>120000+J30-K30-L30</f>
        <v>96000</v>
      </c>
    </row>
    <row r="31" spans="1:13" x14ac:dyDescent="0.2">
      <c r="A31" t="s">
        <v>23</v>
      </c>
      <c r="B31" t="s">
        <v>24</v>
      </c>
      <c r="C31" t="s">
        <v>30</v>
      </c>
      <c r="E31">
        <v>120000</v>
      </c>
      <c r="F31" t="s">
        <v>26</v>
      </c>
      <c r="J31">
        <f>SUMIFS(D2:D25,B2:B25,"Deposit",C2:C25,"IRA2")</f>
        <v>0</v>
      </c>
      <c r="L31">
        <f>SUMIFS(D2:D25,B2:B25,"Withdraw",C2:C25,"IRA2")</f>
        <v>0</v>
      </c>
      <c r="M31">
        <f>120000+J31-K31-L31</f>
        <v>120000</v>
      </c>
    </row>
    <row r="32" spans="1:13" x14ac:dyDescent="0.2">
      <c r="A32" t="s">
        <v>23</v>
      </c>
      <c r="B32" t="s">
        <v>24</v>
      </c>
      <c r="C32" t="s">
        <v>11</v>
      </c>
      <c r="E32">
        <v>34000</v>
      </c>
      <c r="F32" t="s">
        <v>26</v>
      </c>
      <c r="J32">
        <f>SUMIFS(D2:D25,B2:B25,"Deposit",C2:C25,"Roth")</f>
        <v>24000</v>
      </c>
      <c r="L32">
        <f>SUMIFS(D2:D25,B2:B25,"Withdraw",C2:C25,"Roth")</f>
        <v>0</v>
      </c>
      <c r="M32">
        <f>10000+J32-K32-L32</f>
        <v>34000</v>
      </c>
    </row>
    <row r="33" spans="1:15" x14ac:dyDescent="0.2">
      <c r="A33" t="s">
        <v>23</v>
      </c>
      <c r="B33" t="s">
        <v>24</v>
      </c>
      <c r="C33" t="s">
        <v>31</v>
      </c>
      <c r="E33">
        <v>10000</v>
      </c>
      <c r="F33" t="s">
        <v>26</v>
      </c>
      <c r="J33">
        <f>SUMIFS(D2:D25,B2:B25,"Deposit",C2:C25,"Roth2")</f>
        <v>0</v>
      </c>
      <c r="L33">
        <f>SUMIFS(D2:D25,B2:B25,"Withdraw",C2:C25,"Roth2")</f>
        <v>0</v>
      </c>
      <c r="M33">
        <f>10000+J33-K33-L33</f>
        <v>10000</v>
      </c>
    </row>
    <row r="34" spans="1:15" x14ac:dyDescent="0.2">
      <c r="A34" t="s">
        <v>23</v>
      </c>
      <c r="B34" t="s">
        <v>32</v>
      </c>
      <c r="C34" t="s">
        <v>33</v>
      </c>
      <c r="E34">
        <v>0</v>
      </c>
      <c r="F34" t="s">
        <v>34</v>
      </c>
      <c r="J34">
        <f>SUMIFS(D2:D25,C2:C25,"Savings",B2:B25,"Deposit",F2:F25,"=*income*")</f>
        <v>0</v>
      </c>
      <c r="K34">
        <f>J34*6.2%</f>
        <v>0</v>
      </c>
    </row>
    <row r="35" spans="1:15" x14ac:dyDescent="0.2">
      <c r="A35" t="s">
        <v>23</v>
      </c>
      <c r="B35" t="s">
        <v>32</v>
      </c>
      <c r="C35" t="s">
        <v>35</v>
      </c>
      <c r="E35">
        <v>0</v>
      </c>
      <c r="F35" t="s">
        <v>36</v>
      </c>
      <c r="J35">
        <f>J34</f>
        <v>0</v>
      </c>
      <c r="K35">
        <f>J35*1.45%</f>
        <v>0</v>
      </c>
    </row>
    <row r="36" spans="1:15" x14ac:dyDescent="0.2">
      <c r="A36" t="s">
        <v>23</v>
      </c>
      <c r="B36" t="s">
        <v>32</v>
      </c>
      <c r="C36" t="s">
        <v>37</v>
      </c>
      <c r="E36">
        <v>0</v>
      </c>
      <c r="F36" t="s">
        <v>38</v>
      </c>
    </row>
    <row r="37" spans="1:15" x14ac:dyDescent="0.2">
      <c r="A37" t="s">
        <v>23</v>
      </c>
      <c r="B37" t="s">
        <v>32</v>
      </c>
      <c r="C37" t="s">
        <v>39</v>
      </c>
      <c r="E37">
        <v>0</v>
      </c>
      <c r="F37" t="s">
        <v>40</v>
      </c>
    </row>
    <row r="38" spans="1:15" x14ac:dyDescent="0.2">
      <c r="A38" t="s">
        <v>23</v>
      </c>
      <c r="B38" t="s">
        <v>32</v>
      </c>
      <c r="C38" t="s">
        <v>41</v>
      </c>
      <c r="E38">
        <v>24000</v>
      </c>
      <c r="F38" t="s">
        <v>42</v>
      </c>
      <c r="J38">
        <f>J34</f>
        <v>0</v>
      </c>
      <c r="K38">
        <v>0</v>
      </c>
      <c r="L38">
        <f>SUM(L28:L29)/2</f>
        <v>0</v>
      </c>
      <c r="M38">
        <f>SUM(L30:L31)</f>
        <v>24000</v>
      </c>
      <c r="O38">
        <f>SUM(J38:N38)</f>
        <v>24000</v>
      </c>
    </row>
    <row r="39" spans="1:15" x14ac:dyDescent="0.2">
      <c r="A39" t="s">
        <v>23</v>
      </c>
      <c r="B39" t="s">
        <v>32</v>
      </c>
      <c r="C39" t="s">
        <v>43</v>
      </c>
      <c r="E39">
        <v>0</v>
      </c>
      <c r="F39" t="s">
        <v>44</v>
      </c>
    </row>
    <row r="40" spans="1:15" x14ac:dyDescent="0.2">
      <c r="A40" t="s">
        <v>23</v>
      </c>
      <c r="B40" t="s">
        <v>32</v>
      </c>
      <c r="C40" t="s">
        <v>45</v>
      </c>
      <c r="E40">
        <v>0</v>
      </c>
      <c r="F40" t="s">
        <v>46</v>
      </c>
    </row>
    <row r="41" spans="1:15" x14ac:dyDescent="0.2">
      <c r="A41" t="s">
        <v>23</v>
      </c>
      <c r="B41" t="s">
        <v>32</v>
      </c>
      <c r="C41" t="s">
        <v>47</v>
      </c>
      <c r="E41">
        <v>0</v>
      </c>
      <c r="F41" t="s">
        <v>48</v>
      </c>
    </row>
    <row r="42" spans="1:15" x14ac:dyDescent="0.2">
      <c r="A42" t="s">
        <v>49</v>
      </c>
      <c r="B42" t="s">
        <v>7</v>
      </c>
      <c r="C42" t="s">
        <v>8</v>
      </c>
      <c r="D42">
        <v>2000</v>
      </c>
      <c r="E42">
        <v>94000</v>
      </c>
      <c r="F42" t="s">
        <v>9</v>
      </c>
    </row>
    <row r="43" spans="1:15" x14ac:dyDescent="0.2">
      <c r="A43" t="s">
        <v>49</v>
      </c>
      <c r="B43" t="s">
        <v>10</v>
      </c>
      <c r="C43" t="s">
        <v>11</v>
      </c>
      <c r="D43">
        <v>2000</v>
      </c>
      <c r="E43">
        <v>36000</v>
      </c>
      <c r="F43" t="s">
        <v>9</v>
      </c>
    </row>
    <row r="44" spans="1:15" x14ac:dyDescent="0.2">
      <c r="A44" t="s">
        <v>50</v>
      </c>
      <c r="B44" t="s">
        <v>7</v>
      </c>
      <c r="C44" t="s">
        <v>8</v>
      </c>
      <c r="D44">
        <v>2000</v>
      </c>
      <c r="E44">
        <v>92000</v>
      </c>
      <c r="F44" t="s">
        <v>9</v>
      </c>
    </row>
    <row r="45" spans="1:15" x14ac:dyDescent="0.2">
      <c r="A45" t="s">
        <v>50</v>
      </c>
      <c r="B45" t="s">
        <v>10</v>
      </c>
      <c r="C45" t="s">
        <v>11</v>
      </c>
      <c r="D45">
        <v>2000</v>
      </c>
      <c r="E45">
        <v>38000</v>
      </c>
      <c r="F45" t="s">
        <v>9</v>
      </c>
    </row>
    <row r="46" spans="1:15" x14ac:dyDescent="0.2">
      <c r="A46" t="s">
        <v>51</v>
      </c>
      <c r="B46" t="s">
        <v>7</v>
      </c>
      <c r="C46" t="s">
        <v>8</v>
      </c>
      <c r="D46">
        <v>2000</v>
      </c>
      <c r="E46">
        <v>90000</v>
      </c>
      <c r="F46" t="s">
        <v>9</v>
      </c>
    </row>
    <row r="47" spans="1:15" x14ac:dyDescent="0.2">
      <c r="A47" t="s">
        <v>51</v>
      </c>
      <c r="B47" t="s">
        <v>10</v>
      </c>
      <c r="C47" t="s">
        <v>11</v>
      </c>
      <c r="D47">
        <v>2000</v>
      </c>
      <c r="E47">
        <v>40000</v>
      </c>
      <c r="F47" t="s">
        <v>9</v>
      </c>
    </row>
    <row r="48" spans="1:15" x14ac:dyDescent="0.2">
      <c r="A48" t="s">
        <v>52</v>
      </c>
      <c r="B48" t="s">
        <v>7</v>
      </c>
      <c r="C48" t="s">
        <v>8</v>
      </c>
      <c r="D48">
        <v>2000</v>
      </c>
      <c r="E48">
        <v>88000</v>
      </c>
      <c r="F48" t="s">
        <v>9</v>
      </c>
    </row>
    <row r="49" spans="1:6" x14ac:dyDescent="0.2">
      <c r="A49" t="s">
        <v>52</v>
      </c>
      <c r="B49" t="s">
        <v>10</v>
      </c>
      <c r="C49" t="s">
        <v>11</v>
      </c>
      <c r="D49">
        <v>2000</v>
      </c>
      <c r="E49">
        <v>42000</v>
      </c>
      <c r="F49" t="s">
        <v>9</v>
      </c>
    </row>
    <row r="50" spans="1:6" x14ac:dyDescent="0.2">
      <c r="A50" t="s">
        <v>53</v>
      </c>
      <c r="B50" t="s">
        <v>7</v>
      </c>
      <c r="C50" t="s">
        <v>8</v>
      </c>
      <c r="D50">
        <v>2000</v>
      </c>
      <c r="E50">
        <v>86000</v>
      </c>
      <c r="F50" t="s">
        <v>9</v>
      </c>
    </row>
    <row r="51" spans="1:6" x14ac:dyDescent="0.2">
      <c r="A51" t="s">
        <v>53</v>
      </c>
      <c r="B51" t="s">
        <v>10</v>
      </c>
      <c r="C51" t="s">
        <v>11</v>
      </c>
      <c r="D51">
        <v>2000</v>
      </c>
      <c r="E51">
        <v>44000</v>
      </c>
      <c r="F51" t="s">
        <v>9</v>
      </c>
    </row>
    <row r="52" spans="1:6" x14ac:dyDescent="0.2">
      <c r="A52" t="s">
        <v>54</v>
      </c>
      <c r="B52" t="s">
        <v>7</v>
      </c>
      <c r="C52" t="s">
        <v>8</v>
      </c>
      <c r="D52">
        <v>2000</v>
      </c>
      <c r="E52">
        <v>84000</v>
      </c>
      <c r="F52" t="s">
        <v>9</v>
      </c>
    </row>
    <row r="53" spans="1:6" x14ac:dyDescent="0.2">
      <c r="A53" t="s">
        <v>54</v>
      </c>
      <c r="B53" t="s">
        <v>10</v>
      </c>
      <c r="C53" t="s">
        <v>11</v>
      </c>
      <c r="D53">
        <v>2000</v>
      </c>
      <c r="E53">
        <v>46000</v>
      </c>
      <c r="F53" t="s">
        <v>9</v>
      </c>
    </row>
    <row r="54" spans="1:6" x14ac:dyDescent="0.2">
      <c r="A54" t="s">
        <v>55</v>
      </c>
      <c r="B54" t="s">
        <v>7</v>
      </c>
      <c r="C54" t="s">
        <v>8</v>
      </c>
      <c r="D54">
        <v>2000</v>
      </c>
      <c r="E54">
        <v>82000</v>
      </c>
      <c r="F54" t="s">
        <v>9</v>
      </c>
    </row>
    <row r="55" spans="1:6" x14ac:dyDescent="0.2">
      <c r="A55" t="s">
        <v>55</v>
      </c>
      <c r="B55" t="s">
        <v>10</v>
      </c>
      <c r="C55" t="s">
        <v>11</v>
      </c>
      <c r="D55">
        <v>2000</v>
      </c>
      <c r="E55">
        <v>48000</v>
      </c>
      <c r="F55" t="s">
        <v>9</v>
      </c>
    </row>
    <row r="56" spans="1:6" x14ac:dyDescent="0.2">
      <c r="A56" t="s">
        <v>56</v>
      </c>
      <c r="B56" t="s">
        <v>7</v>
      </c>
      <c r="C56" t="s">
        <v>8</v>
      </c>
      <c r="D56">
        <v>2000</v>
      </c>
      <c r="E56">
        <v>80000</v>
      </c>
      <c r="F56" t="s">
        <v>9</v>
      </c>
    </row>
    <row r="57" spans="1:6" x14ac:dyDescent="0.2">
      <c r="A57" t="s">
        <v>56</v>
      </c>
      <c r="B57" t="s">
        <v>10</v>
      </c>
      <c r="C57" t="s">
        <v>11</v>
      </c>
      <c r="D57">
        <v>2000</v>
      </c>
      <c r="E57">
        <v>50000</v>
      </c>
      <c r="F57" t="s">
        <v>9</v>
      </c>
    </row>
    <row r="58" spans="1:6" x14ac:dyDescent="0.2">
      <c r="A58" t="s">
        <v>57</v>
      </c>
      <c r="B58" t="s">
        <v>7</v>
      </c>
      <c r="C58" t="s">
        <v>8</v>
      </c>
      <c r="D58">
        <v>2000</v>
      </c>
      <c r="E58">
        <v>78000</v>
      </c>
      <c r="F58" t="s">
        <v>9</v>
      </c>
    </row>
    <row r="59" spans="1:6" x14ac:dyDescent="0.2">
      <c r="A59" t="s">
        <v>57</v>
      </c>
      <c r="B59" t="s">
        <v>10</v>
      </c>
      <c r="C59" t="s">
        <v>11</v>
      </c>
      <c r="D59">
        <v>2000</v>
      </c>
      <c r="E59">
        <v>52000</v>
      </c>
      <c r="F59" t="s">
        <v>9</v>
      </c>
    </row>
    <row r="60" spans="1:6" x14ac:dyDescent="0.2">
      <c r="A60" t="s">
        <v>58</v>
      </c>
      <c r="B60" t="s">
        <v>7</v>
      </c>
      <c r="C60" t="s">
        <v>8</v>
      </c>
      <c r="D60">
        <v>2000</v>
      </c>
      <c r="E60">
        <v>76000</v>
      </c>
      <c r="F60" t="s">
        <v>9</v>
      </c>
    </row>
    <row r="61" spans="1:6" x14ac:dyDescent="0.2">
      <c r="A61" t="s">
        <v>58</v>
      </c>
      <c r="B61" t="s">
        <v>10</v>
      </c>
      <c r="C61" t="s">
        <v>11</v>
      </c>
      <c r="D61">
        <v>2000</v>
      </c>
      <c r="E61">
        <v>54000</v>
      </c>
      <c r="F61" t="s">
        <v>9</v>
      </c>
    </row>
    <row r="62" spans="1:6" x14ac:dyDescent="0.2">
      <c r="A62" t="s">
        <v>59</v>
      </c>
      <c r="B62" t="s">
        <v>7</v>
      </c>
      <c r="C62" t="s">
        <v>8</v>
      </c>
      <c r="D62">
        <v>2000</v>
      </c>
      <c r="E62">
        <v>74000</v>
      </c>
      <c r="F62" t="s">
        <v>9</v>
      </c>
    </row>
    <row r="63" spans="1:6" x14ac:dyDescent="0.2">
      <c r="A63" t="s">
        <v>59</v>
      </c>
      <c r="B63" t="s">
        <v>10</v>
      </c>
      <c r="C63" t="s">
        <v>11</v>
      </c>
      <c r="D63">
        <v>2000</v>
      </c>
      <c r="E63">
        <v>56000</v>
      </c>
      <c r="F63" t="s">
        <v>9</v>
      </c>
    </row>
    <row r="64" spans="1:6" x14ac:dyDescent="0.2">
      <c r="A64" t="s">
        <v>60</v>
      </c>
      <c r="B64" t="s">
        <v>7</v>
      </c>
      <c r="C64" t="s">
        <v>8</v>
      </c>
      <c r="D64">
        <v>2000</v>
      </c>
      <c r="E64">
        <v>72000</v>
      </c>
      <c r="F64" t="s">
        <v>9</v>
      </c>
    </row>
    <row r="65" spans="1:15" x14ac:dyDescent="0.2">
      <c r="A65" t="s">
        <v>60</v>
      </c>
      <c r="B65" t="s">
        <v>10</v>
      </c>
      <c r="C65" t="s">
        <v>11</v>
      </c>
      <c r="D65">
        <v>2000</v>
      </c>
      <c r="E65">
        <v>58000</v>
      </c>
      <c r="F65" t="s">
        <v>9</v>
      </c>
    </row>
    <row r="66" spans="1:15" x14ac:dyDescent="0.2">
      <c r="A66" t="s">
        <v>61</v>
      </c>
      <c r="B66" t="s">
        <v>24</v>
      </c>
      <c r="C66" t="s">
        <v>25</v>
      </c>
      <c r="E66">
        <v>120000</v>
      </c>
      <c r="F66" t="s">
        <v>26</v>
      </c>
      <c r="J66">
        <f>SUMIFS(D42:D65,B42:B65,"Deposit",C42:C65,"Savings")</f>
        <v>0</v>
      </c>
      <c r="K66">
        <f>SUMIFS(D42:D65,B42:B65,"Payment",C42:C65,"Savings")</f>
        <v>0</v>
      </c>
      <c r="L66">
        <f>SUMIFS(D42:D65,B42:B65,"Withdraw",C42:C65,"Savings")</f>
        <v>0</v>
      </c>
      <c r="M66">
        <f>M26+J66-K66-L66</f>
        <v>120000</v>
      </c>
    </row>
    <row r="67" spans="1:15" x14ac:dyDescent="0.2">
      <c r="A67" t="s">
        <v>61</v>
      </c>
      <c r="B67" t="s">
        <v>24</v>
      </c>
      <c r="C67" t="s">
        <v>27</v>
      </c>
      <c r="E67">
        <v>120000</v>
      </c>
      <c r="F67" t="s">
        <v>26</v>
      </c>
      <c r="J67">
        <f>SUMIFS(D42:D65,B42:B65,"Deposit",C42:C65,"Savings2")</f>
        <v>0</v>
      </c>
      <c r="L67">
        <f>SUMIFS(D42:D65,B42:B65,"Withdraw",C42:C65,"Savings2")</f>
        <v>0</v>
      </c>
      <c r="M67">
        <f>M27+J67-K67-L67</f>
        <v>120000</v>
      </c>
    </row>
    <row r="68" spans="1:15" x14ac:dyDescent="0.2">
      <c r="A68" t="s">
        <v>61</v>
      </c>
      <c r="B68" t="s">
        <v>24</v>
      </c>
      <c r="C68" t="s">
        <v>28</v>
      </c>
      <c r="E68">
        <v>120000</v>
      </c>
      <c r="F68" t="s">
        <v>26</v>
      </c>
      <c r="J68">
        <f>SUMIFS(D42:D65,B42:B65,"Deposit",C42:C65,"Brokerage")</f>
        <v>0</v>
      </c>
      <c r="L68">
        <f>SUMIFS(D42:D65,B42:B65,"Withdraw",C42:C65,"Brokerage")</f>
        <v>0</v>
      </c>
      <c r="M68">
        <f>M28+J68-K68-L68</f>
        <v>120000</v>
      </c>
    </row>
    <row r="69" spans="1:15" x14ac:dyDescent="0.2">
      <c r="A69" t="s">
        <v>61</v>
      </c>
      <c r="B69" t="s">
        <v>24</v>
      </c>
      <c r="C69" t="s">
        <v>29</v>
      </c>
      <c r="E69">
        <v>120000</v>
      </c>
      <c r="F69" t="s">
        <v>26</v>
      </c>
      <c r="J69">
        <f>SUMIFS(D42:D65,B42:B65,"Deposit",C42:C65,"Brokerage2")</f>
        <v>0</v>
      </c>
      <c r="L69">
        <f>SUMIFS(D42:D65,B42:B65,"Withdraw",C42:C65,"Brokerage2")</f>
        <v>0</v>
      </c>
      <c r="M69">
        <f>M29+J69-K69-L69</f>
        <v>120000</v>
      </c>
    </row>
    <row r="70" spans="1:15" x14ac:dyDescent="0.2">
      <c r="A70" t="s">
        <v>61</v>
      </c>
      <c r="B70" t="s">
        <v>24</v>
      </c>
      <c r="C70" t="s">
        <v>8</v>
      </c>
      <c r="E70">
        <v>72000</v>
      </c>
      <c r="F70" t="s">
        <v>26</v>
      </c>
      <c r="J70">
        <f>SUMIFS(D42:D65,B42:B65,"Deposit",C42:C65,"IRA")</f>
        <v>0</v>
      </c>
      <c r="L70">
        <f>SUMIFS(D42:D65,B42:B65,"Withdraw",C42:C65,"IRA")</f>
        <v>24000</v>
      </c>
      <c r="M70">
        <f>M30+J70-K70-L70</f>
        <v>72000</v>
      </c>
    </row>
    <row r="71" spans="1:15" x14ac:dyDescent="0.2">
      <c r="A71" t="s">
        <v>61</v>
      </c>
      <c r="B71" t="s">
        <v>24</v>
      </c>
      <c r="C71" t="s">
        <v>30</v>
      </c>
      <c r="E71">
        <v>120000</v>
      </c>
      <c r="F71" t="s">
        <v>26</v>
      </c>
      <c r="J71">
        <f>SUMIFS(D42:D65,B42:B65,"Deposit",C42:C65,"IRA2")</f>
        <v>0</v>
      </c>
      <c r="L71">
        <f>SUMIFS(D42:D65,B42:B65,"Withdraw",C42:C65,"IRA2")</f>
        <v>0</v>
      </c>
      <c r="M71">
        <f>M31+J71-K71-L71</f>
        <v>120000</v>
      </c>
    </row>
    <row r="72" spans="1:15" x14ac:dyDescent="0.2">
      <c r="A72" t="s">
        <v>61</v>
      </c>
      <c r="B72" t="s">
        <v>24</v>
      </c>
      <c r="C72" t="s">
        <v>11</v>
      </c>
      <c r="E72">
        <v>58000</v>
      </c>
      <c r="F72" t="s">
        <v>26</v>
      </c>
      <c r="J72">
        <f>SUMIFS(D42:D65,B42:B65,"Deposit",C42:C65,"Roth")</f>
        <v>24000</v>
      </c>
      <c r="L72">
        <f>SUMIFS(D42:D65,B42:B65,"Withdraw",C42:C65,"Roth")</f>
        <v>0</v>
      </c>
      <c r="M72">
        <f>M32+J72-K72-L72</f>
        <v>58000</v>
      </c>
    </row>
    <row r="73" spans="1:15" x14ac:dyDescent="0.2">
      <c r="A73" t="s">
        <v>61</v>
      </c>
      <c r="B73" t="s">
        <v>24</v>
      </c>
      <c r="C73" t="s">
        <v>31</v>
      </c>
      <c r="E73">
        <v>10000</v>
      </c>
      <c r="F73" t="s">
        <v>26</v>
      </c>
      <c r="J73">
        <f>SUMIFS(D42:D65,B42:B65,"Deposit",C42:C65,"Roth2")</f>
        <v>0</v>
      </c>
      <c r="L73">
        <f>SUMIFS(D42:D65,B42:B65,"Withdraw",C42:C65,"Roth2")</f>
        <v>0</v>
      </c>
      <c r="M73">
        <f>M33+J73-K73-L73</f>
        <v>10000</v>
      </c>
    </row>
    <row r="74" spans="1:15" x14ac:dyDescent="0.2">
      <c r="A74" t="s">
        <v>61</v>
      </c>
      <c r="B74" t="s">
        <v>32</v>
      </c>
      <c r="C74" t="s">
        <v>33</v>
      </c>
      <c r="E74">
        <v>0</v>
      </c>
      <c r="F74" t="s">
        <v>34</v>
      </c>
      <c r="J74">
        <f>SUMIFS(D42:D65,C42:C65,"Savings",B42:B65,"Deposit",F42:F65,"=*income*")</f>
        <v>0</v>
      </c>
      <c r="K74">
        <f>J74*6.2%</f>
        <v>0</v>
      </c>
    </row>
    <row r="75" spans="1:15" x14ac:dyDescent="0.2">
      <c r="A75" t="s">
        <v>61</v>
      </c>
      <c r="B75" t="s">
        <v>32</v>
      </c>
      <c r="C75" t="s">
        <v>35</v>
      </c>
      <c r="E75">
        <v>0</v>
      </c>
      <c r="F75" t="s">
        <v>36</v>
      </c>
      <c r="J75">
        <f>J74</f>
        <v>0</v>
      </c>
      <c r="K75">
        <f>J75*1.45%</f>
        <v>0</v>
      </c>
    </row>
    <row r="76" spans="1:15" x14ac:dyDescent="0.2">
      <c r="A76" t="s">
        <v>61</v>
      </c>
      <c r="B76" t="s">
        <v>32</v>
      </c>
      <c r="C76" t="s">
        <v>37</v>
      </c>
      <c r="E76">
        <v>0</v>
      </c>
      <c r="F76" t="s">
        <v>38</v>
      </c>
    </row>
    <row r="77" spans="1:15" x14ac:dyDescent="0.2">
      <c r="A77" t="s">
        <v>61</v>
      </c>
      <c r="B77" t="s">
        <v>32</v>
      </c>
      <c r="C77" t="s">
        <v>39</v>
      </c>
      <c r="E77">
        <v>0</v>
      </c>
      <c r="F77" t="s">
        <v>40</v>
      </c>
    </row>
    <row r="78" spans="1:15" x14ac:dyDescent="0.2">
      <c r="A78" t="s">
        <v>61</v>
      </c>
      <c r="B78" t="s">
        <v>32</v>
      </c>
      <c r="C78" t="s">
        <v>41</v>
      </c>
      <c r="E78">
        <v>24000</v>
      </c>
      <c r="F78" t="s">
        <v>42</v>
      </c>
      <c r="J78">
        <f>J74</f>
        <v>0</v>
      </c>
      <c r="K78">
        <v>0</v>
      </c>
      <c r="L78">
        <f>SUM(L68:L69)/2</f>
        <v>0</v>
      </c>
      <c r="M78">
        <f>SUM(L70:L71)</f>
        <v>24000</v>
      </c>
      <c r="O78">
        <f>SUM(J78:N78)</f>
        <v>24000</v>
      </c>
    </row>
    <row r="79" spans="1:15" x14ac:dyDescent="0.2">
      <c r="A79" t="s">
        <v>61</v>
      </c>
      <c r="B79" t="s">
        <v>32</v>
      </c>
      <c r="C79" t="s">
        <v>43</v>
      </c>
      <c r="E79">
        <v>0</v>
      </c>
      <c r="F79" t="s">
        <v>44</v>
      </c>
    </row>
    <row r="80" spans="1:15" x14ac:dyDescent="0.2">
      <c r="A80" t="s">
        <v>61</v>
      </c>
      <c r="B80" t="s">
        <v>32</v>
      </c>
      <c r="C80" t="s">
        <v>45</v>
      </c>
      <c r="E80">
        <v>0</v>
      </c>
      <c r="F80" t="s">
        <v>46</v>
      </c>
    </row>
    <row r="81" spans="1:6" x14ac:dyDescent="0.2">
      <c r="A81" t="s">
        <v>61</v>
      </c>
      <c r="B81" t="s">
        <v>32</v>
      </c>
      <c r="C81" t="s">
        <v>47</v>
      </c>
      <c r="E81">
        <v>0</v>
      </c>
      <c r="F81" t="s">
        <v>48</v>
      </c>
    </row>
    <row r="82" spans="1:6" x14ac:dyDescent="0.2">
      <c r="A82" t="s">
        <v>62</v>
      </c>
      <c r="B82" t="s">
        <v>7</v>
      </c>
      <c r="C82" t="s">
        <v>8</v>
      </c>
      <c r="D82">
        <v>2000</v>
      </c>
      <c r="E82">
        <v>70000</v>
      </c>
      <c r="F82" t="s">
        <v>9</v>
      </c>
    </row>
    <row r="83" spans="1:6" x14ac:dyDescent="0.2">
      <c r="A83" t="s">
        <v>62</v>
      </c>
      <c r="B83" t="s">
        <v>10</v>
      </c>
      <c r="C83" t="s">
        <v>11</v>
      </c>
      <c r="D83">
        <v>2000</v>
      </c>
      <c r="E83">
        <v>60000</v>
      </c>
      <c r="F83" t="s">
        <v>9</v>
      </c>
    </row>
    <row r="84" spans="1:6" x14ac:dyDescent="0.2">
      <c r="A84" t="s">
        <v>63</v>
      </c>
      <c r="B84" t="s">
        <v>7</v>
      </c>
      <c r="C84" t="s">
        <v>8</v>
      </c>
      <c r="D84">
        <v>2000</v>
      </c>
      <c r="E84">
        <v>68000</v>
      </c>
      <c r="F84" t="s">
        <v>9</v>
      </c>
    </row>
    <row r="85" spans="1:6" x14ac:dyDescent="0.2">
      <c r="A85" t="s">
        <v>63</v>
      </c>
      <c r="B85" t="s">
        <v>10</v>
      </c>
      <c r="C85" t="s">
        <v>11</v>
      </c>
      <c r="D85">
        <v>2000</v>
      </c>
      <c r="E85">
        <v>62000</v>
      </c>
      <c r="F85" t="s">
        <v>9</v>
      </c>
    </row>
    <row r="86" spans="1:6" x14ac:dyDescent="0.2">
      <c r="A86" t="s">
        <v>64</v>
      </c>
      <c r="B86" t="s">
        <v>7</v>
      </c>
      <c r="C86" t="s">
        <v>8</v>
      </c>
      <c r="D86">
        <v>2000</v>
      </c>
      <c r="E86">
        <v>66000</v>
      </c>
      <c r="F86" t="s">
        <v>9</v>
      </c>
    </row>
    <row r="87" spans="1:6" x14ac:dyDescent="0.2">
      <c r="A87" t="s">
        <v>64</v>
      </c>
      <c r="B87" t="s">
        <v>10</v>
      </c>
      <c r="C87" t="s">
        <v>11</v>
      </c>
      <c r="D87">
        <v>2000</v>
      </c>
      <c r="E87">
        <v>64000</v>
      </c>
      <c r="F87" t="s">
        <v>9</v>
      </c>
    </row>
    <row r="88" spans="1:6" x14ac:dyDescent="0.2">
      <c r="A88" t="s">
        <v>65</v>
      </c>
      <c r="B88" t="s">
        <v>7</v>
      </c>
      <c r="C88" t="s">
        <v>8</v>
      </c>
      <c r="D88">
        <v>2000</v>
      </c>
      <c r="E88">
        <v>64000</v>
      </c>
      <c r="F88" t="s">
        <v>9</v>
      </c>
    </row>
    <row r="89" spans="1:6" x14ac:dyDescent="0.2">
      <c r="A89" t="s">
        <v>65</v>
      </c>
      <c r="B89" t="s">
        <v>10</v>
      </c>
      <c r="C89" t="s">
        <v>11</v>
      </c>
      <c r="D89">
        <v>2000</v>
      </c>
      <c r="E89">
        <v>66000</v>
      </c>
      <c r="F89" t="s">
        <v>9</v>
      </c>
    </row>
    <row r="90" spans="1:6" x14ac:dyDescent="0.2">
      <c r="A90" t="s">
        <v>66</v>
      </c>
      <c r="B90" t="s">
        <v>7</v>
      </c>
      <c r="C90" t="s">
        <v>8</v>
      </c>
      <c r="D90">
        <v>2000</v>
      </c>
      <c r="E90">
        <v>62000</v>
      </c>
      <c r="F90" t="s">
        <v>9</v>
      </c>
    </row>
    <row r="91" spans="1:6" x14ac:dyDescent="0.2">
      <c r="A91" t="s">
        <v>66</v>
      </c>
      <c r="B91" t="s">
        <v>10</v>
      </c>
      <c r="C91" t="s">
        <v>11</v>
      </c>
      <c r="D91">
        <v>2000</v>
      </c>
      <c r="E91">
        <v>68000</v>
      </c>
      <c r="F91" t="s">
        <v>9</v>
      </c>
    </row>
    <row r="92" spans="1:6" x14ac:dyDescent="0.2">
      <c r="A92" t="s">
        <v>67</v>
      </c>
      <c r="B92" t="s">
        <v>7</v>
      </c>
      <c r="C92" t="s">
        <v>8</v>
      </c>
      <c r="D92">
        <v>2000</v>
      </c>
      <c r="E92">
        <v>60000</v>
      </c>
      <c r="F92" t="s">
        <v>9</v>
      </c>
    </row>
    <row r="93" spans="1:6" x14ac:dyDescent="0.2">
      <c r="A93" t="s">
        <v>67</v>
      </c>
      <c r="B93" t="s">
        <v>10</v>
      </c>
      <c r="C93" t="s">
        <v>11</v>
      </c>
      <c r="D93">
        <v>2000</v>
      </c>
      <c r="E93">
        <v>70000</v>
      </c>
      <c r="F93" t="s">
        <v>9</v>
      </c>
    </row>
    <row r="94" spans="1:6" x14ac:dyDescent="0.2">
      <c r="A94" t="s">
        <v>68</v>
      </c>
      <c r="B94" t="s">
        <v>7</v>
      </c>
      <c r="C94" t="s">
        <v>8</v>
      </c>
      <c r="D94">
        <v>2000</v>
      </c>
      <c r="E94">
        <v>58000</v>
      </c>
      <c r="F94" t="s">
        <v>9</v>
      </c>
    </row>
    <row r="95" spans="1:6" x14ac:dyDescent="0.2">
      <c r="A95" t="s">
        <v>68</v>
      </c>
      <c r="B95" t="s">
        <v>10</v>
      </c>
      <c r="C95" t="s">
        <v>11</v>
      </c>
      <c r="D95">
        <v>2000</v>
      </c>
      <c r="E95">
        <v>72000</v>
      </c>
      <c r="F95" t="s">
        <v>9</v>
      </c>
    </row>
    <row r="96" spans="1:6" x14ac:dyDescent="0.2">
      <c r="A96" t="s">
        <v>69</v>
      </c>
      <c r="B96" t="s">
        <v>7</v>
      </c>
      <c r="C96" t="s">
        <v>8</v>
      </c>
      <c r="D96">
        <v>2000</v>
      </c>
      <c r="E96">
        <v>56000</v>
      </c>
      <c r="F96" t="s">
        <v>9</v>
      </c>
    </row>
    <row r="97" spans="1:13" x14ac:dyDescent="0.2">
      <c r="A97" t="s">
        <v>69</v>
      </c>
      <c r="B97" t="s">
        <v>10</v>
      </c>
      <c r="C97" t="s">
        <v>11</v>
      </c>
      <c r="D97">
        <v>2000</v>
      </c>
      <c r="E97">
        <v>74000</v>
      </c>
      <c r="F97" t="s">
        <v>9</v>
      </c>
    </row>
    <row r="98" spans="1:13" x14ac:dyDescent="0.2">
      <c r="A98" t="s">
        <v>70</v>
      </c>
      <c r="B98" t="s">
        <v>7</v>
      </c>
      <c r="C98" t="s">
        <v>8</v>
      </c>
      <c r="D98">
        <v>2000</v>
      </c>
      <c r="E98">
        <v>54000</v>
      </c>
      <c r="F98" t="s">
        <v>9</v>
      </c>
    </row>
    <row r="99" spans="1:13" x14ac:dyDescent="0.2">
      <c r="A99" t="s">
        <v>70</v>
      </c>
      <c r="B99" t="s">
        <v>10</v>
      </c>
      <c r="C99" t="s">
        <v>11</v>
      </c>
      <c r="D99">
        <v>2000</v>
      </c>
      <c r="E99">
        <v>76000</v>
      </c>
      <c r="F99" t="s">
        <v>9</v>
      </c>
    </row>
    <row r="100" spans="1:13" x14ac:dyDescent="0.2">
      <c r="A100" t="s">
        <v>71</v>
      </c>
      <c r="B100" t="s">
        <v>7</v>
      </c>
      <c r="C100" t="s">
        <v>8</v>
      </c>
      <c r="D100">
        <v>2000</v>
      </c>
      <c r="E100">
        <v>52000</v>
      </c>
      <c r="F100" t="s">
        <v>9</v>
      </c>
    </row>
    <row r="101" spans="1:13" x14ac:dyDescent="0.2">
      <c r="A101" t="s">
        <v>71</v>
      </c>
      <c r="B101" t="s">
        <v>10</v>
      </c>
      <c r="C101" t="s">
        <v>11</v>
      </c>
      <c r="D101">
        <v>2000</v>
      </c>
      <c r="E101">
        <v>78000</v>
      </c>
      <c r="F101" t="s">
        <v>9</v>
      </c>
    </row>
    <row r="102" spans="1:13" x14ac:dyDescent="0.2">
      <c r="A102" t="s">
        <v>72</v>
      </c>
      <c r="B102" t="s">
        <v>7</v>
      </c>
      <c r="C102" t="s">
        <v>8</v>
      </c>
      <c r="D102">
        <v>2000</v>
      </c>
      <c r="E102">
        <v>50000</v>
      </c>
      <c r="F102" t="s">
        <v>9</v>
      </c>
    </row>
    <row r="103" spans="1:13" x14ac:dyDescent="0.2">
      <c r="A103" t="s">
        <v>72</v>
      </c>
      <c r="B103" t="s">
        <v>10</v>
      </c>
      <c r="C103" t="s">
        <v>11</v>
      </c>
      <c r="D103">
        <v>2000</v>
      </c>
      <c r="E103">
        <v>80000</v>
      </c>
      <c r="F103" t="s">
        <v>9</v>
      </c>
    </row>
    <row r="104" spans="1:13" x14ac:dyDescent="0.2">
      <c r="A104" t="s">
        <v>73</v>
      </c>
      <c r="B104" t="s">
        <v>7</v>
      </c>
      <c r="C104" t="s">
        <v>8</v>
      </c>
      <c r="D104">
        <v>2000</v>
      </c>
      <c r="E104">
        <v>48000</v>
      </c>
      <c r="F104" t="s">
        <v>9</v>
      </c>
    </row>
    <row r="105" spans="1:13" x14ac:dyDescent="0.2">
      <c r="A105" t="s">
        <v>73</v>
      </c>
      <c r="B105" t="s">
        <v>10</v>
      </c>
      <c r="C105" t="s">
        <v>11</v>
      </c>
      <c r="D105">
        <v>2000</v>
      </c>
      <c r="E105">
        <v>82000</v>
      </c>
      <c r="F105" t="s">
        <v>9</v>
      </c>
    </row>
    <row r="106" spans="1:13" x14ac:dyDescent="0.2">
      <c r="A106" t="s">
        <v>74</v>
      </c>
      <c r="B106" t="s">
        <v>24</v>
      </c>
      <c r="C106" t="s">
        <v>25</v>
      </c>
      <c r="E106">
        <v>120000</v>
      </c>
      <c r="F106" t="s">
        <v>26</v>
      </c>
      <c r="J106">
        <f>SUMIFS(D82:D105,B82:B105,"Deposit",C82:C105,"Savings")</f>
        <v>0</v>
      </c>
      <c r="K106">
        <f>SUMIFS(D82:D105,B82:B105,"Payment",C82:C105,"Savings")</f>
        <v>0</v>
      </c>
      <c r="L106">
        <f>SUMIFS(D82:D105,B82:B105,"Withdraw",C82:C105,"Savings")</f>
        <v>0</v>
      </c>
      <c r="M106">
        <f>M66+J106-K106-L106</f>
        <v>120000</v>
      </c>
    </row>
    <row r="107" spans="1:13" x14ac:dyDescent="0.2">
      <c r="A107" t="s">
        <v>74</v>
      </c>
      <c r="B107" t="s">
        <v>24</v>
      </c>
      <c r="C107" t="s">
        <v>27</v>
      </c>
      <c r="E107">
        <v>120000</v>
      </c>
      <c r="F107" t="s">
        <v>26</v>
      </c>
      <c r="J107">
        <f>SUMIFS(D82:D105,B82:B105,"Deposit",C82:C105,"Savings2")</f>
        <v>0</v>
      </c>
      <c r="L107">
        <f>SUMIFS(D82:D105,B82:B105,"Withdraw",C82:C105,"Savings2")</f>
        <v>0</v>
      </c>
      <c r="M107">
        <f>M67+J107-K107-L107</f>
        <v>120000</v>
      </c>
    </row>
    <row r="108" spans="1:13" x14ac:dyDescent="0.2">
      <c r="A108" t="s">
        <v>74</v>
      </c>
      <c r="B108" t="s">
        <v>24</v>
      </c>
      <c r="C108" t="s">
        <v>28</v>
      </c>
      <c r="E108">
        <v>120000</v>
      </c>
      <c r="F108" t="s">
        <v>26</v>
      </c>
      <c r="J108">
        <f>SUMIFS(D82:D105,B82:B105,"Deposit",C82:C105,"Brokerage")</f>
        <v>0</v>
      </c>
      <c r="L108">
        <f>SUMIFS(D82:D105,B82:B105,"Withdraw",C82:C105,"Brokerage")</f>
        <v>0</v>
      </c>
      <c r="M108">
        <f>M68+J108-K108-L108</f>
        <v>120000</v>
      </c>
    </row>
    <row r="109" spans="1:13" x14ac:dyDescent="0.2">
      <c r="A109" t="s">
        <v>74</v>
      </c>
      <c r="B109" t="s">
        <v>24</v>
      </c>
      <c r="C109" t="s">
        <v>29</v>
      </c>
      <c r="E109">
        <v>120000</v>
      </c>
      <c r="F109" t="s">
        <v>26</v>
      </c>
      <c r="J109">
        <f>SUMIFS(D82:D105,B82:B105,"Deposit",C82:C105,"Brokerage2")</f>
        <v>0</v>
      </c>
      <c r="L109">
        <f>SUMIFS(D82:D105,B82:B105,"Withdraw",C82:C105,"Brokerage2")</f>
        <v>0</v>
      </c>
      <c r="M109">
        <f>M69+J109-K109-L109</f>
        <v>120000</v>
      </c>
    </row>
    <row r="110" spans="1:13" x14ac:dyDescent="0.2">
      <c r="A110" t="s">
        <v>74</v>
      </c>
      <c r="B110" t="s">
        <v>24</v>
      </c>
      <c r="C110" t="s">
        <v>8</v>
      </c>
      <c r="E110">
        <v>48000</v>
      </c>
      <c r="F110" t="s">
        <v>26</v>
      </c>
      <c r="J110">
        <f>SUMIFS(D82:D105,B82:B105,"Deposit",C82:C105,"IRA")</f>
        <v>0</v>
      </c>
      <c r="L110">
        <f>SUMIFS(D82:D105,B82:B105,"Withdraw",C82:C105,"IRA")</f>
        <v>24000</v>
      </c>
      <c r="M110">
        <f>M70+J110-K110-L110</f>
        <v>48000</v>
      </c>
    </row>
    <row r="111" spans="1:13" x14ac:dyDescent="0.2">
      <c r="A111" t="s">
        <v>74</v>
      </c>
      <c r="B111" t="s">
        <v>24</v>
      </c>
      <c r="C111" t="s">
        <v>30</v>
      </c>
      <c r="E111">
        <v>120000</v>
      </c>
      <c r="F111" t="s">
        <v>26</v>
      </c>
      <c r="J111">
        <f>SUMIFS(D82:D105,B82:B105,"Deposit",C82:C105,"IRA2")</f>
        <v>0</v>
      </c>
      <c r="L111">
        <f>SUMIFS(D82:D105,B82:B105,"Withdraw",C82:C105,"IRA2")</f>
        <v>0</v>
      </c>
      <c r="M111">
        <f>M71+J111-K111-L111</f>
        <v>120000</v>
      </c>
    </row>
    <row r="112" spans="1:13" x14ac:dyDescent="0.2">
      <c r="A112" t="s">
        <v>74</v>
      </c>
      <c r="B112" t="s">
        <v>24</v>
      </c>
      <c r="C112" t="s">
        <v>11</v>
      </c>
      <c r="E112">
        <v>82000</v>
      </c>
      <c r="F112" t="s">
        <v>26</v>
      </c>
      <c r="J112">
        <f>SUMIFS(D82:D105,B82:B105,"Deposit",C82:C105,"Roth")</f>
        <v>24000</v>
      </c>
      <c r="L112">
        <f>SUMIFS(D82:D105,B82:B105,"Withdraw",C82:C105,"Roth")</f>
        <v>0</v>
      </c>
      <c r="M112">
        <f>M72+J112-K112-L112</f>
        <v>82000</v>
      </c>
    </row>
    <row r="113" spans="1:15" x14ac:dyDescent="0.2">
      <c r="A113" t="s">
        <v>74</v>
      </c>
      <c r="B113" t="s">
        <v>24</v>
      </c>
      <c r="C113" t="s">
        <v>31</v>
      </c>
      <c r="E113">
        <v>10000</v>
      </c>
      <c r="F113" t="s">
        <v>26</v>
      </c>
      <c r="J113">
        <f>SUMIFS(D82:D105,B82:B105,"Deposit",C82:C105,"Roth2")</f>
        <v>0</v>
      </c>
      <c r="L113">
        <f>SUMIFS(D82:D105,B82:B105,"Withdraw",C82:C105,"Roth2")</f>
        <v>0</v>
      </c>
      <c r="M113">
        <f>M73+J113-K113-L113</f>
        <v>10000</v>
      </c>
    </row>
    <row r="114" spans="1:15" x14ac:dyDescent="0.2">
      <c r="A114" t="s">
        <v>74</v>
      </c>
      <c r="B114" t="s">
        <v>32</v>
      </c>
      <c r="C114" t="s">
        <v>33</v>
      </c>
      <c r="E114">
        <v>0</v>
      </c>
      <c r="F114" t="s">
        <v>34</v>
      </c>
      <c r="J114">
        <f>SUMIFS(D82:D105,C82:C105,"Savings",B82:B105,"Deposit",F82:F105,"=*income*")</f>
        <v>0</v>
      </c>
      <c r="K114">
        <f>J114*6.2%</f>
        <v>0</v>
      </c>
    </row>
    <row r="115" spans="1:15" x14ac:dyDescent="0.2">
      <c r="A115" t="s">
        <v>74</v>
      </c>
      <c r="B115" t="s">
        <v>32</v>
      </c>
      <c r="C115" t="s">
        <v>35</v>
      </c>
      <c r="E115">
        <v>0</v>
      </c>
      <c r="F115" t="s">
        <v>36</v>
      </c>
      <c r="J115">
        <f>J114</f>
        <v>0</v>
      </c>
      <c r="K115">
        <f>J115*1.45%</f>
        <v>0</v>
      </c>
    </row>
    <row r="116" spans="1:15" x14ac:dyDescent="0.2">
      <c r="A116" t="s">
        <v>74</v>
      </c>
      <c r="B116" t="s">
        <v>32</v>
      </c>
      <c r="C116" t="s">
        <v>37</v>
      </c>
      <c r="E116">
        <v>0</v>
      </c>
      <c r="F116" t="s">
        <v>38</v>
      </c>
    </row>
    <row r="117" spans="1:15" x14ac:dyDescent="0.2">
      <c r="A117" t="s">
        <v>74</v>
      </c>
      <c r="B117" t="s">
        <v>32</v>
      </c>
      <c r="C117" t="s">
        <v>39</v>
      </c>
      <c r="E117">
        <v>0</v>
      </c>
      <c r="F117" t="s">
        <v>40</v>
      </c>
    </row>
    <row r="118" spans="1:15" x14ac:dyDescent="0.2">
      <c r="A118" t="s">
        <v>74</v>
      </c>
      <c r="B118" t="s">
        <v>32</v>
      </c>
      <c r="C118" t="s">
        <v>41</v>
      </c>
      <c r="E118">
        <v>24000</v>
      </c>
      <c r="F118" t="s">
        <v>42</v>
      </c>
      <c r="J118">
        <f>J114</f>
        <v>0</v>
      </c>
      <c r="K118">
        <v>0</v>
      </c>
      <c r="L118">
        <f>SUM(L108:L109)/2</f>
        <v>0</v>
      </c>
      <c r="M118">
        <f>SUM(L110:L111)</f>
        <v>24000</v>
      </c>
      <c r="O118">
        <f>SUM(J118:N118)</f>
        <v>24000</v>
      </c>
    </row>
    <row r="119" spans="1:15" x14ac:dyDescent="0.2">
      <c r="A119" t="s">
        <v>74</v>
      </c>
      <c r="B119" t="s">
        <v>32</v>
      </c>
      <c r="C119" t="s">
        <v>43</v>
      </c>
      <c r="E119">
        <v>0</v>
      </c>
      <c r="F119" t="s">
        <v>44</v>
      </c>
    </row>
    <row r="120" spans="1:15" x14ac:dyDescent="0.2">
      <c r="A120" t="s">
        <v>74</v>
      </c>
      <c r="B120" t="s">
        <v>32</v>
      </c>
      <c r="C120" t="s">
        <v>45</v>
      </c>
      <c r="E120">
        <v>0</v>
      </c>
      <c r="F120" t="s">
        <v>46</v>
      </c>
    </row>
    <row r="121" spans="1:15" x14ac:dyDescent="0.2">
      <c r="A121" t="s">
        <v>74</v>
      </c>
      <c r="B121" t="s">
        <v>32</v>
      </c>
      <c r="C121" t="s">
        <v>47</v>
      </c>
      <c r="E121">
        <v>0</v>
      </c>
      <c r="F121" t="s">
        <v>48</v>
      </c>
    </row>
    <row r="122" spans="1:15" x14ac:dyDescent="0.2">
      <c r="A122" t="s">
        <v>75</v>
      </c>
      <c r="B122" t="s">
        <v>7</v>
      </c>
      <c r="C122" t="s">
        <v>8</v>
      </c>
      <c r="D122">
        <v>2000</v>
      </c>
      <c r="E122">
        <v>46000</v>
      </c>
      <c r="F122" t="s">
        <v>9</v>
      </c>
    </row>
    <row r="123" spans="1:15" x14ac:dyDescent="0.2">
      <c r="A123" t="s">
        <v>75</v>
      </c>
      <c r="B123" t="s">
        <v>10</v>
      </c>
      <c r="C123" t="s">
        <v>11</v>
      </c>
      <c r="D123">
        <v>2000</v>
      </c>
      <c r="E123">
        <v>84000</v>
      </c>
      <c r="F123" t="s">
        <v>9</v>
      </c>
    </row>
    <row r="124" spans="1:15" x14ac:dyDescent="0.2">
      <c r="A124" t="s">
        <v>76</v>
      </c>
      <c r="B124" t="s">
        <v>7</v>
      </c>
      <c r="C124" t="s">
        <v>8</v>
      </c>
      <c r="D124">
        <v>2000</v>
      </c>
      <c r="E124">
        <v>44000</v>
      </c>
      <c r="F124" t="s">
        <v>9</v>
      </c>
    </row>
    <row r="125" spans="1:15" x14ac:dyDescent="0.2">
      <c r="A125" t="s">
        <v>76</v>
      </c>
      <c r="B125" t="s">
        <v>10</v>
      </c>
      <c r="C125" t="s">
        <v>11</v>
      </c>
      <c r="D125">
        <v>2000</v>
      </c>
      <c r="E125">
        <v>86000</v>
      </c>
      <c r="F125" t="s">
        <v>9</v>
      </c>
    </row>
    <row r="126" spans="1:15" x14ac:dyDescent="0.2">
      <c r="A126" t="s">
        <v>77</v>
      </c>
      <c r="B126" t="s">
        <v>7</v>
      </c>
      <c r="C126" t="s">
        <v>8</v>
      </c>
      <c r="D126">
        <v>2000</v>
      </c>
      <c r="E126">
        <v>42000</v>
      </c>
      <c r="F126" t="s">
        <v>9</v>
      </c>
    </row>
    <row r="127" spans="1:15" x14ac:dyDescent="0.2">
      <c r="A127" t="s">
        <v>77</v>
      </c>
      <c r="B127" t="s">
        <v>10</v>
      </c>
      <c r="C127" t="s">
        <v>11</v>
      </c>
      <c r="D127">
        <v>2000</v>
      </c>
      <c r="E127">
        <v>88000</v>
      </c>
      <c r="F127" t="s">
        <v>9</v>
      </c>
    </row>
    <row r="128" spans="1:15" x14ac:dyDescent="0.2">
      <c r="A128" t="s">
        <v>78</v>
      </c>
      <c r="B128" t="s">
        <v>7</v>
      </c>
      <c r="C128" t="s">
        <v>8</v>
      </c>
      <c r="D128">
        <v>2000</v>
      </c>
      <c r="E128">
        <v>40000</v>
      </c>
      <c r="F128" t="s">
        <v>9</v>
      </c>
    </row>
    <row r="129" spans="1:6" x14ac:dyDescent="0.2">
      <c r="A129" t="s">
        <v>78</v>
      </c>
      <c r="B129" t="s">
        <v>10</v>
      </c>
      <c r="C129" t="s">
        <v>11</v>
      </c>
      <c r="D129">
        <v>2000</v>
      </c>
      <c r="E129">
        <v>90000</v>
      </c>
      <c r="F129" t="s">
        <v>9</v>
      </c>
    </row>
    <row r="130" spans="1:6" x14ac:dyDescent="0.2">
      <c r="A130" t="s">
        <v>79</v>
      </c>
      <c r="B130" t="s">
        <v>7</v>
      </c>
      <c r="C130" t="s">
        <v>8</v>
      </c>
      <c r="D130">
        <v>2000</v>
      </c>
      <c r="E130">
        <v>38000</v>
      </c>
      <c r="F130" t="s">
        <v>9</v>
      </c>
    </row>
    <row r="131" spans="1:6" x14ac:dyDescent="0.2">
      <c r="A131" t="s">
        <v>79</v>
      </c>
      <c r="B131" t="s">
        <v>10</v>
      </c>
      <c r="C131" t="s">
        <v>11</v>
      </c>
      <c r="D131">
        <v>2000</v>
      </c>
      <c r="E131">
        <v>92000</v>
      </c>
      <c r="F131" t="s">
        <v>9</v>
      </c>
    </row>
    <row r="132" spans="1:6" x14ac:dyDescent="0.2">
      <c r="A132" t="s">
        <v>80</v>
      </c>
      <c r="B132" t="s">
        <v>7</v>
      </c>
      <c r="C132" t="s">
        <v>8</v>
      </c>
      <c r="D132">
        <v>2000</v>
      </c>
      <c r="E132">
        <v>36000</v>
      </c>
      <c r="F132" t="s">
        <v>9</v>
      </c>
    </row>
    <row r="133" spans="1:6" x14ac:dyDescent="0.2">
      <c r="A133" t="s">
        <v>80</v>
      </c>
      <c r="B133" t="s">
        <v>10</v>
      </c>
      <c r="C133" t="s">
        <v>11</v>
      </c>
      <c r="D133">
        <v>2000</v>
      </c>
      <c r="E133">
        <v>94000</v>
      </c>
      <c r="F133" t="s">
        <v>9</v>
      </c>
    </row>
    <row r="134" spans="1:6" x14ac:dyDescent="0.2">
      <c r="A134" t="s">
        <v>81</v>
      </c>
      <c r="B134" t="s">
        <v>7</v>
      </c>
      <c r="C134" t="s">
        <v>8</v>
      </c>
      <c r="D134">
        <v>2000</v>
      </c>
      <c r="E134">
        <v>34000</v>
      </c>
      <c r="F134" t="s">
        <v>9</v>
      </c>
    </row>
    <row r="135" spans="1:6" x14ac:dyDescent="0.2">
      <c r="A135" t="s">
        <v>81</v>
      </c>
      <c r="B135" t="s">
        <v>10</v>
      </c>
      <c r="C135" t="s">
        <v>11</v>
      </c>
      <c r="D135">
        <v>2000</v>
      </c>
      <c r="E135">
        <v>96000</v>
      </c>
      <c r="F135" t="s">
        <v>9</v>
      </c>
    </row>
    <row r="136" spans="1:6" x14ac:dyDescent="0.2">
      <c r="A136" t="s">
        <v>82</v>
      </c>
      <c r="B136" t="s">
        <v>7</v>
      </c>
      <c r="C136" t="s">
        <v>8</v>
      </c>
      <c r="D136">
        <v>2000</v>
      </c>
      <c r="E136">
        <v>32000</v>
      </c>
      <c r="F136" t="s">
        <v>9</v>
      </c>
    </row>
    <row r="137" spans="1:6" x14ac:dyDescent="0.2">
      <c r="A137" t="s">
        <v>82</v>
      </c>
      <c r="B137" t="s">
        <v>10</v>
      </c>
      <c r="C137" t="s">
        <v>11</v>
      </c>
      <c r="D137">
        <v>2000</v>
      </c>
      <c r="E137">
        <v>98000</v>
      </c>
      <c r="F137" t="s">
        <v>9</v>
      </c>
    </row>
    <row r="138" spans="1:6" x14ac:dyDescent="0.2">
      <c r="A138" t="s">
        <v>83</v>
      </c>
      <c r="B138" t="s">
        <v>7</v>
      </c>
      <c r="C138" t="s">
        <v>8</v>
      </c>
      <c r="D138">
        <v>2000</v>
      </c>
      <c r="E138">
        <v>30000</v>
      </c>
      <c r="F138" t="s">
        <v>9</v>
      </c>
    </row>
    <row r="139" spans="1:6" x14ac:dyDescent="0.2">
      <c r="A139" t="s">
        <v>83</v>
      </c>
      <c r="B139" t="s">
        <v>10</v>
      </c>
      <c r="C139" t="s">
        <v>11</v>
      </c>
      <c r="D139">
        <v>2000</v>
      </c>
      <c r="E139">
        <v>100000</v>
      </c>
      <c r="F139" t="s">
        <v>9</v>
      </c>
    </row>
    <row r="140" spans="1:6" x14ac:dyDescent="0.2">
      <c r="A140" t="s">
        <v>84</v>
      </c>
      <c r="B140" t="s">
        <v>7</v>
      </c>
      <c r="C140" t="s">
        <v>8</v>
      </c>
      <c r="D140">
        <v>2000</v>
      </c>
      <c r="E140">
        <v>28000</v>
      </c>
      <c r="F140" t="s">
        <v>9</v>
      </c>
    </row>
    <row r="141" spans="1:6" x14ac:dyDescent="0.2">
      <c r="A141" t="s">
        <v>84</v>
      </c>
      <c r="B141" t="s">
        <v>10</v>
      </c>
      <c r="C141" t="s">
        <v>11</v>
      </c>
      <c r="D141">
        <v>2000</v>
      </c>
      <c r="E141">
        <v>102000</v>
      </c>
      <c r="F141" t="s">
        <v>9</v>
      </c>
    </row>
    <row r="142" spans="1:6" x14ac:dyDescent="0.2">
      <c r="A142" t="s">
        <v>85</v>
      </c>
      <c r="B142" t="s">
        <v>7</v>
      </c>
      <c r="C142" t="s">
        <v>8</v>
      </c>
      <c r="D142">
        <v>2000</v>
      </c>
      <c r="E142">
        <v>26000</v>
      </c>
      <c r="F142" t="s">
        <v>9</v>
      </c>
    </row>
    <row r="143" spans="1:6" x14ac:dyDescent="0.2">
      <c r="A143" t="s">
        <v>85</v>
      </c>
      <c r="B143" t="s">
        <v>10</v>
      </c>
      <c r="C143" t="s">
        <v>11</v>
      </c>
      <c r="D143">
        <v>2000</v>
      </c>
      <c r="E143">
        <v>104000</v>
      </c>
      <c r="F143" t="s">
        <v>9</v>
      </c>
    </row>
    <row r="144" spans="1:6" x14ac:dyDescent="0.2">
      <c r="A144" t="s">
        <v>86</v>
      </c>
      <c r="B144" t="s">
        <v>7</v>
      </c>
      <c r="C144" t="s">
        <v>8</v>
      </c>
      <c r="D144">
        <v>2000</v>
      </c>
      <c r="E144">
        <v>24000</v>
      </c>
      <c r="F144" t="s">
        <v>9</v>
      </c>
    </row>
    <row r="145" spans="1:15" x14ac:dyDescent="0.2">
      <c r="A145" t="s">
        <v>86</v>
      </c>
      <c r="B145" t="s">
        <v>10</v>
      </c>
      <c r="C145" t="s">
        <v>11</v>
      </c>
      <c r="D145">
        <v>2000</v>
      </c>
      <c r="E145">
        <v>106000</v>
      </c>
      <c r="F145" t="s">
        <v>9</v>
      </c>
    </row>
    <row r="146" spans="1:15" x14ac:dyDescent="0.2">
      <c r="A146" t="s">
        <v>87</v>
      </c>
      <c r="B146" t="s">
        <v>24</v>
      </c>
      <c r="C146" t="s">
        <v>25</v>
      </c>
      <c r="E146">
        <v>120000</v>
      </c>
      <c r="F146" t="s">
        <v>26</v>
      </c>
      <c r="J146">
        <f>SUMIFS(D122:D145,B122:B145,"Deposit",C122:C145,"Savings")</f>
        <v>0</v>
      </c>
      <c r="K146">
        <f>SUMIFS(D122:D145,B122:B145,"Payment",C122:C145,"Savings")</f>
        <v>0</v>
      </c>
      <c r="L146">
        <f>SUMIFS(D122:D145,B122:B145,"Withdraw",C122:C145,"Savings")</f>
        <v>0</v>
      </c>
      <c r="M146">
        <f>M106+J146-K146-L146</f>
        <v>120000</v>
      </c>
    </row>
    <row r="147" spans="1:15" x14ac:dyDescent="0.2">
      <c r="A147" t="s">
        <v>87</v>
      </c>
      <c r="B147" t="s">
        <v>24</v>
      </c>
      <c r="C147" t="s">
        <v>27</v>
      </c>
      <c r="E147">
        <v>120000</v>
      </c>
      <c r="F147" t="s">
        <v>26</v>
      </c>
      <c r="J147">
        <f>SUMIFS(D122:D145,B122:B145,"Deposit",C122:C145,"Savings2")</f>
        <v>0</v>
      </c>
      <c r="L147">
        <f>SUMIFS(D122:D145,B122:B145,"Withdraw",C122:C145,"Savings2")</f>
        <v>0</v>
      </c>
      <c r="M147">
        <f>M107+J147-K147-L147</f>
        <v>120000</v>
      </c>
    </row>
    <row r="148" spans="1:15" x14ac:dyDescent="0.2">
      <c r="A148" t="s">
        <v>87</v>
      </c>
      <c r="B148" t="s">
        <v>24</v>
      </c>
      <c r="C148" t="s">
        <v>28</v>
      </c>
      <c r="E148">
        <v>120000</v>
      </c>
      <c r="F148" t="s">
        <v>26</v>
      </c>
      <c r="J148">
        <f>SUMIFS(D122:D145,B122:B145,"Deposit",C122:C145,"Brokerage")</f>
        <v>0</v>
      </c>
      <c r="L148">
        <f>SUMIFS(D122:D145,B122:B145,"Withdraw",C122:C145,"Brokerage")</f>
        <v>0</v>
      </c>
      <c r="M148">
        <f>M108+J148-K148-L148</f>
        <v>120000</v>
      </c>
    </row>
    <row r="149" spans="1:15" x14ac:dyDescent="0.2">
      <c r="A149" t="s">
        <v>87</v>
      </c>
      <c r="B149" t="s">
        <v>24</v>
      </c>
      <c r="C149" t="s">
        <v>29</v>
      </c>
      <c r="E149">
        <v>120000</v>
      </c>
      <c r="F149" t="s">
        <v>26</v>
      </c>
      <c r="J149">
        <f>SUMIFS(D122:D145,B122:B145,"Deposit",C122:C145,"Brokerage2")</f>
        <v>0</v>
      </c>
      <c r="L149">
        <f>SUMIFS(D122:D145,B122:B145,"Withdraw",C122:C145,"Brokerage2")</f>
        <v>0</v>
      </c>
      <c r="M149">
        <f>M109+J149-K149-L149</f>
        <v>120000</v>
      </c>
    </row>
    <row r="150" spans="1:15" x14ac:dyDescent="0.2">
      <c r="A150" t="s">
        <v>87</v>
      </c>
      <c r="B150" t="s">
        <v>24</v>
      </c>
      <c r="C150" t="s">
        <v>8</v>
      </c>
      <c r="E150">
        <v>24000</v>
      </c>
      <c r="F150" t="s">
        <v>26</v>
      </c>
      <c r="J150">
        <f>SUMIFS(D122:D145,B122:B145,"Deposit",C122:C145,"IRA")</f>
        <v>0</v>
      </c>
      <c r="L150">
        <f>SUMIFS(D122:D145,B122:B145,"Withdraw",C122:C145,"IRA")</f>
        <v>24000</v>
      </c>
      <c r="M150">
        <f>M110+J150-K150-L150</f>
        <v>24000</v>
      </c>
    </row>
    <row r="151" spans="1:15" x14ac:dyDescent="0.2">
      <c r="A151" t="s">
        <v>87</v>
      </c>
      <c r="B151" t="s">
        <v>24</v>
      </c>
      <c r="C151" t="s">
        <v>30</v>
      </c>
      <c r="E151">
        <v>120000</v>
      </c>
      <c r="F151" t="s">
        <v>26</v>
      </c>
      <c r="J151">
        <f>SUMIFS(D122:D145,B122:B145,"Deposit",C122:C145,"IRA2")</f>
        <v>0</v>
      </c>
      <c r="L151">
        <f>SUMIFS(D122:D145,B122:B145,"Withdraw",C122:C145,"IRA2")</f>
        <v>0</v>
      </c>
      <c r="M151">
        <f>M111+J151-K151-L151</f>
        <v>120000</v>
      </c>
    </row>
    <row r="152" spans="1:15" x14ac:dyDescent="0.2">
      <c r="A152" t="s">
        <v>87</v>
      </c>
      <c r="B152" t="s">
        <v>24</v>
      </c>
      <c r="C152" t="s">
        <v>11</v>
      </c>
      <c r="E152">
        <v>106000</v>
      </c>
      <c r="F152" t="s">
        <v>26</v>
      </c>
      <c r="J152">
        <f>SUMIFS(D122:D145,B122:B145,"Deposit",C122:C145,"Roth")</f>
        <v>24000</v>
      </c>
      <c r="L152">
        <f>SUMIFS(D122:D145,B122:B145,"Withdraw",C122:C145,"Roth")</f>
        <v>0</v>
      </c>
      <c r="M152">
        <f>M112+J152-K152-L152</f>
        <v>106000</v>
      </c>
    </row>
    <row r="153" spans="1:15" x14ac:dyDescent="0.2">
      <c r="A153" t="s">
        <v>87</v>
      </c>
      <c r="B153" t="s">
        <v>24</v>
      </c>
      <c r="C153" t="s">
        <v>31</v>
      </c>
      <c r="E153">
        <v>10000</v>
      </c>
      <c r="F153" t="s">
        <v>26</v>
      </c>
      <c r="J153">
        <f>SUMIFS(D122:D145,B122:B145,"Deposit",C122:C145,"Roth2")</f>
        <v>0</v>
      </c>
      <c r="L153">
        <f>SUMIFS(D122:D145,B122:B145,"Withdraw",C122:C145,"Roth2")</f>
        <v>0</v>
      </c>
      <c r="M153">
        <f>M113+J153-K153-L153</f>
        <v>10000</v>
      </c>
    </row>
    <row r="154" spans="1:15" x14ac:dyDescent="0.2">
      <c r="A154" t="s">
        <v>87</v>
      </c>
      <c r="B154" t="s">
        <v>32</v>
      </c>
      <c r="C154" t="s">
        <v>33</v>
      </c>
      <c r="E154">
        <v>0</v>
      </c>
      <c r="F154" t="s">
        <v>34</v>
      </c>
      <c r="J154">
        <f>SUMIFS(D122:D145,C122:C145,"Savings",B122:B145,"Deposit",F122:F145,"=*income*")</f>
        <v>0</v>
      </c>
      <c r="K154">
        <f>J154*6.2%</f>
        <v>0</v>
      </c>
    </row>
    <row r="155" spans="1:15" x14ac:dyDescent="0.2">
      <c r="A155" t="s">
        <v>87</v>
      </c>
      <c r="B155" t="s">
        <v>32</v>
      </c>
      <c r="C155" t="s">
        <v>35</v>
      </c>
      <c r="E155">
        <v>0</v>
      </c>
      <c r="F155" t="s">
        <v>36</v>
      </c>
      <c r="J155">
        <f>J154</f>
        <v>0</v>
      </c>
      <c r="K155">
        <f>J155*1.45%</f>
        <v>0</v>
      </c>
    </row>
    <row r="156" spans="1:15" x14ac:dyDescent="0.2">
      <c r="A156" t="s">
        <v>87</v>
      </c>
      <c r="B156" t="s">
        <v>32</v>
      </c>
      <c r="C156" t="s">
        <v>37</v>
      </c>
      <c r="E156">
        <v>0</v>
      </c>
      <c r="F156" t="s">
        <v>38</v>
      </c>
    </row>
    <row r="157" spans="1:15" x14ac:dyDescent="0.2">
      <c r="A157" t="s">
        <v>87</v>
      </c>
      <c r="B157" t="s">
        <v>32</v>
      </c>
      <c r="C157" t="s">
        <v>39</v>
      </c>
      <c r="E157">
        <v>0</v>
      </c>
      <c r="F157" t="s">
        <v>40</v>
      </c>
    </row>
    <row r="158" spans="1:15" x14ac:dyDescent="0.2">
      <c r="A158" t="s">
        <v>87</v>
      </c>
      <c r="B158" t="s">
        <v>32</v>
      </c>
      <c r="C158" t="s">
        <v>41</v>
      </c>
      <c r="E158">
        <v>24000</v>
      </c>
      <c r="F158" t="s">
        <v>42</v>
      </c>
      <c r="J158">
        <f>J154</f>
        <v>0</v>
      </c>
      <c r="K158">
        <v>0</v>
      </c>
      <c r="L158">
        <f>SUM(L148:L149)/2</f>
        <v>0</v>
      </c>
      <c r="M158">
        <f>SUM(L150:L151)</f>
        <v>24000</v>
      </c>
      <c r="O158">
        <f>SUM(J158:N158)</f>
        <v>24000</v>
      </c>
    </row>
    <row r="159" spans="1:15" x14ac:dyDescent="0.2">
      <c r="A159" t="s">
        <v>87</v>
      </c>
      <c r="B159" t="s">
        <v>32</v>
      </c>
      <c r="C159" t="s">
        <v>43</v>
      </c>
      <c r="E159">
        <v>0</v>
      </c>
      <c r="F159" t="s">
        <v>44</v>
      </c>
    </row>
    <row r="160" spans="1:15" x14ac:dyDescent="0.2">
      <c r="A160" t="s">
        <v>87</v>
      </c>
      <c r="B160" t="s">
        <v>32</v>
      </c>
      <c r="C160" t="s">
        <v>45</v>
      </c>
      <c r="E160">
        <v>0</v>
      </c>
      <c r="F160" t="s">
        <v>46</v>
      </c>
    </row>
    <row r="161" spans="1:6" x14ac:dyDescent="0.2">
      <c r="A161" t="s">
        <v>87</v>
      </c>
      <c r="B161" t="s">
        <v>32</v>
      </c>
      <c r="C161" t="s">
        <v>47</v>
      </c>
      <c r="E161">
        <v>0</v>
      </c>
      <c r="F161" t="s">
        <v>48</v>
      </c>
    </row>
    <row r="162" spans="1:6" x14ac:dyDescent="0.2">
      <c r="A162" t="s">
        <v>88</v>
      </c>
      <c r="B162" t="s">
        <v>7</v>
      </c>
      <c r="C162" t="s">
        <v>8</v>
      </c>
      <c r="D162">
        <v>2000</v>
      </c>
      <c r="E162">
        <v>22000</v>
      </c>
      <c r="F162" t="s">
        <v>9</v>
      </c>
    </row>
    <row r="163" spans="1:6" x14ac:dyDescent="0.2">
      <c r="A163" t="s">
        <v>88</v>
      </c>
      <c r="B163" t="s">
        <v>10</v>
      </c>
      <c r="C163" t="s">
        <v>11</v>
      </c>
      <c r="D163">
        <v>2000</v>
      </c>
      <c r="E163">
        <v>108000</v>
      </c>
      <c r="F163" t="s">
        <v>9</v>
      </c>
    </row>
    <row r="164" spans="1:6" x14ac:dyDescent="0.2">
      <c r="A164" t="s">
        <v>89</v>
      </c>
      <c r="B164" t="s">
        <v>7</v>
      </c>
      <c r="C164" t="s">
        <v>8</v>
      </c>
      <c r="D164">
        <v>2000</v>
      </c>
      <c r="E164">
        <v>20000</v>
      </c>
      <c r="F164" t="s">
        <v>9</v>
      </c>
    </row>
    <row r="165" spans="1:6" x14ac:dyDescent="0.2">
      <c r="A165" t="s">
        <v>89</v>
      </c>
      <c r="B165" t="s">
        <v>10</v>
      </c>
      <c r="C165" t="s">
        <v>11</v>
      </c>
      <c r="D165">
        <v>2000</v>
      </c>
      <c r="E165">
        <v>110000</v>
      </c>
      <c r="F165" t="s">
        <v>9</v>
      </c>
    </row>
    <row r="166" spans="1:6" x14ac:dyDescent="0.2">
      <c r="A166" t="s">
        <v>90</v>
      </c>
      <c r="B166" t="s">
        <v>7</v>
      </c>
      <c r="C166" t="s">
        <v>8</v>
      </c>
      <c r="D166">
        <v>2000</v>
      </c>
      <c r="E166">
        <v>18000</v>
      </c>
      <c r="F166" t="s">
        <v>9</v>
      </c>
    </row>
    <row r="167" spans="1:6" x14ac:dyDescent="0.2">
      <c r="A167" t="s">
        <v>90</v>
      </c>
      <c r="B167" t="s">
        <v>10</v>
      </c>
      <c r="C167" t="s">
        <v>11</v>
      </c>
      <c r="D167">
        <v>2000</v>
      </c>
      <c r="E167">
        <v>112000</v>
      </c>
      <c r="F167" t="s">
        <v>9</v>
      </c>
    </row>
    <row r="168" spans="1:6" x14ac:dyDescent="0.2">
      <c r="A168" t="s">
        <v>91</v>
      </c>
      <c r="B168" t="s">
        <v>7</v>
      </c>
      <c r="C168" t="s">
        <v>8</v>
      </c>
      <c r="D168">
        <v>2000</v>
      </c>
      <c r="E168">
        <v>16000</v>
      </c>
      <c r="F168" t="s">
        <v>9</v>
      </c>
    </row>
    <row r="169" spans="1:6" x14ac:dyDescent="0.2">
      <c r="A169" t="s">
        <v>91</v>
      </c>
      <c r="B169" t="s">
        <v>10</v>
      </c>
      <c r="C169" t="s">
        <v>11</v>
      </c>
      <c r="D169">
        <v>2000</v>
      </c>
      <c r="E169">
        <v>114000</v>
      </c>
      <c r="F169" t="s">
        <v>9</v>
      </c>
    </row>
    <row r="170" spans="1:6" x14ac:dyDescent="0.2">
      <c r="A170" t="s">
        <v>92</v>
      </c>
      <c r="B170" t="s">
        <v>7</v>
      </c>
      <c r="C170" t="s">
        <v>8</v>
      </c>
      <c r="D170">
        <v>2000</v>
      </c>
      <c r="E170">
        <v>14000</v>
      </c>
      <c r="F170" t="s">
        <v>9</v>
      </c>
    </row>
    <row r="171" spans="1:6" x14ac:dyDescent="0.2">
      <c r="A171" t="s">
        <v>92</v>
      </c>
      <c r="B171" t="s">
        <v>10</v>
      </c>
      <c r="C171" t="s">
        <v>11</v>
      </c>
      <c r="D171">
        <v>2000</v>
      </c>
      <c r="E171">
        <v>116000</v>
      </c>
      <c r="F171" t="s">
        <v>9</v>
      </c>
    </row>
    <row r="172" spans="1:6" x14ac:dyDescent="0.2">
      <c r="A172" t="s">
        <v>93</v>
      </c>
      <c r="B172" t="s">
        <v>7</v>
      </c>
      <c r="C172" t="s">
        <v>8</v>
      </c>
      <c r="D172">
        <v>2000</v>
      </c>
      <c r="E172">
        <v>12000</v>
      </c>
      <c r="F172" t="s">
        <v>9</v>
      </c>
    </row>
    <row r="173" spans="1:6" x14ac:dyDescent="0.2">
      <c r="A173" t="s">
        <v>93</v>
      </c>
      <c r="B173" t="s">
        <v>10</v>
      </c>
      <c r="C173" t="s">
        <v>11</v>
      </c>
      <c r="D173">
        <v>2000</v>
      </c>
      <c r="E173">
        <v>118000</v>
      </c>
      <c r="F173" t="s">
        <v>9</v>
      </c>
    </row>
    <row r="174" spans="1:6" x14ac:dyDescent="0.2">
      <c r="A174" t="s">
        <v>94</v>
      </c>
      <c r="B174" t="s">
        <v>7</v>
      </c>
      <c r="C174" t="s">
        <v>8</v>
      </c>
      <c r="D174">
        <v>2000</v>
      </c>
      <c r="E174">
        <v>10000</v>
      </c>
      <c r="F174" t="s">
        <v>9</v>
      </c>
    </row>
    <row r="175" spans="1:6" x14ac:dyDescent="0.2">
      <c r="A175" t="s">
        <v>94</v>
      </c>
      <c r="B175" t="s">
        <v>10</v>
      </c>
      <c r="C175" t="s">
        <v>11</v>
      </c>
      <c r="D175">
        <v>2000</v>
      </c>
      <c r="E175">
        <v>120000</v>
      </c>
      <c r="F175" t="s">
        <v>9</v>
      </c>
    </row>
    <row r="176" spans="1:6" x14ac:dyDescent="0.2">
      <c r="A176" t="s">
        <v>95</v>
      </c>
      <c r="B176" t="s">
        <v>7</v>
      </c>
      <c r="C176" t="s">
        <v>8</v>
      </c>
      <c r="D176">
        <v>2000</v>
      </c>
      <c r="E176">
        <v>8000</v>
      </c>
      <c r="F176" t="s">
        <v>9</v>
      </c>
    </row>
    <row r="177" spans="1:13" x14ac:dyDescent="0.2">
      <c r="A177" t="s">
        <v>95</v>
      </c>
      <c r="B177" t="s">
        <v>10</v>
      </c>
      <c r="C177" t="s">
        <v>11</v>
      </c>
      <c r="D177">
        <v>2000</v>
      </c>
      <c r="E177">
        <v>122000</v>
      </c>
      <c r="F177" t="s">
        <v>9</v>
      </c>
    </row>
    <row r="178" spans="1:13" x14ac:dyDescent="0.2">
      <c r="A178" t="s">
        <v>96</v>
      </c>
      <c r="B178" t="s">
        <v>7</v>
      </c>
      <c r="C178" t="s">
        <v>8</v>
      </c>
      <c r="D178">
        <v>2000</v>
      </c>
      <c r="E178">
        <v>6000</v>
      </c>
      <c r="F178" t="s">
        <v>9</v>
      </c>
    </row>
    <row r="179" spans="1:13" x14ac:dyDescent="0.2">
      <c r="A179" t="s">
        <v>96</v>
      </c>
      <c r="B179" t="s">
        <v>10</v>
      </c>
      <c r="C179" t="s">
        <v>11</v>
      </c>
      <c r="D179">
        <v>2000</v>
      </c>
      <c r="E179">
        <v>124000</v>
      </c>
      <c r="F179" t="s">
        <v>9</v>
      </c>
    </row>
    <row r="180" spans="1:13" x14ac:dyDescent="0.2">
      <c r="A180" t="s">
        <v>97</v>
      </c>
      <c r="B180" t="s">
        <v>7</v>
      </c>
      <c r="C180" t="s">
        <v>8</v>
      </c>
      <c r="D180">
        <v>2000</v>
      </c>
      <c r="E180">
        <v>4000</v>
      </c>
      <c r="F180" t="s">
        <v>9</v>
      </c>
    </row>
    <row r="181" spans="1:13" x14ac:dyDescent="0.2">
      <c r="A181" t="s">
        <v>97</v>
      </c>
      <c r="B181" t="s">
        <v>10</v>
      </c>
      <c r="C181" t="s">
        <v>11</v>
      </c>
      <c r="D181">
        <v>2000</v>
      </c>
      <c r="E181">
        <v>126000</v>
      </c>
      <c r="F181" t="s">
        <v>9</v>
      </c>
    </row>
    <row r="182" spans="1:13" x14ac:dyDescent="0.2">
      <c r="A182" t="s">
        <v>98</v>
      </c>
      <c r="B182" t="s">
        <v>7</v>
      </c>
      <c r="C182" t="s">
        <v>8</v>
      </c>
      <c r="D182">
        <v>2000</v>
      </c>
      <c r="E182">
        <v>2000</v>
      </c>
      <c r="F182" t="s">
        <v>9</v>
      </c>
    </row>
    <row r="183" spans="1:13" x14ac:dyDescent="0.2">
      <c r="A183" t="s">
        <v>98</v>
      </c>
      <c r="B183" t="s">
        <v>10</v>
      </c>
      <c r="C183" t="s">
        <v>11</v>
      </c>
      <c r="D183">
        <v>2000</v>
      </c>
      <c r="E183">
        <v>128000</v>
      </c>
      <c r="F183" t="s">
        <v>9</v>
      </c>
    </row>
    <row r="184" spans="1:13" x14ac:dyDescent="0.2">
      <c r="A184" t="s">
        <v>99</v>
      </c>
      <c r="B184" t="s">
        <v>7</v>
      </c>
      <c r="C184" t="s">
        <v>8</v>
      </c>
      <c r="D184">
        <v>2000</v>
      </c>
      <c r="E184">
        <v>0</v>
      </c>
      <c r="F184" t="s">
        <v>9</v>
      </c>
    </row>
    <row r="185" spans="1:13" x14ac:dyDescent="0.2">
      <c r="A185" t="s">
        <v>99</v>
      </c>
      <c r="B185" t="s">
        <v>10</v>
      </c>
      <c r="C185" t="s">
        <v>11</v>
      </c>
      <c r="D185">
        <v>2000</v>
      </c>
      <c r="E185">
        <v>130000</v>
      </c>
      <c r="F185" t="s">
        <v>9</v>
      </c>
    </row>
    <row r="186" spans="1:13" x14ac:dyDescent="0.2">
      <c r="A186" t="s">
        <v>100</v>
      </c>
      <c r="B186" t="s">
        <v>24</v>
      </c>
      <c r="C186" t="s">
        <v>25</v>
      </c>
      <c r="E186">
        <v>120000</v>
      </c>
      <c r="F186" t="s">
        <v>26</v>
      </c>
      <c r="J186">
        <f>SUMIFS(D162:D185,B162:B185,"Deposit",C162:C185,"Savings")</f>
        <v>0</v>
      </c>
      <c r="K186">
        <f>SUMIFS(D162:D185,B162:B185,"Payment",C162:C185,"Savings")</f>
        <v>0</v>
      </c>
      <c r="L186">
        <f>SUMIFS(D162:D185,B162:B185,"Withdraw",C162:C185,"Savings")</f>
        <v>0</v>
      </c>
      <c r="M186">
        <f>M146+J186-K186-L186</f>
        <v>120000</v>
      </c>
    </row>
    <row r="187" spans="1:13" x14ac:dyDescent="0.2">
      <c r="A187" t="s">
        <v>100</v>
      </c>
      <c r="B187" t="s">
        <v>24</v>
      </c>
      <c r="C187" t="s">
        <v>27</v>
      </c>
      <c r="E187">
        <v>120000</v>
      </c>
      <c r="F187" t="s">
        <v>26</v>
      </c>
      <c r="J187">
        <f>SUMIFS(D162:D185,B162:B185,"Deposit",C162:C185,"Savings2")</f>
        <v>0</v>
      </c>
      <c r="L187">
        <f>SUMIFS(D162:D185,B162:B185,"Withdraw",C162:C185,"Savings2")</f>
        <v>0</v>
      </c>
      <c r="M187">
        <f>M147+J187-K187-L187</f>
        <v>120000</v>
      </c>
    </row>
    <row r="188" spans="1:13" x14ac:dyDescent="0.2">
      <c r="A188" t="s">
        <v>100</v>
      </c>
      <c r="B188" t="s">
        <v>24</v>
      </c>
      <c r="C188" t="s">
        <v>28</v>
      </c>
      <c r="E188">
        <v>120000</v>
      </c>
      <c r="F188" t="s">
        <v>26</v>
      </c>
      <c r="J188">
        <f>SUMIFS(D162:D185,B162:B185,"Deposit",C162:C185,"Brokerage")</f>
        <v>0</v>
      </c>
      <c r="L188">
        <f>SUMIFS(D162:D185,B162:B185,"Withdraw",C162:C185,"Brokerage")</f>
        <v>0</v>
      </c>
      <c r="M188">
        <f>M148+J188-K188-L188</f>
        <v>120000</v>
      </c>
    </row>
    <row r="189" spans="1:13" x14ac:dyDescent="0.2">
      <c r="A189" t="s">
        <v>100</v>
      </c>
      <c r="B189" t="s">
        <v>24</v>
      </c>
      <c r="C189" t="s">
        <v>29</v>
      </c>
      <c r="E189">
        <v>120000</v>
      </c>
      <c r="F189" t="s">
        <v>26</v>
      </c>
      <c r="J189">
        <f>SUMIFS(D162:D185,B162:B185,"Deposit",C162:C185,"Brokerage2")</f>
        <v>0</v>
      </c>
      <c r="L189">
        <f>SUMIFS(D162:D185,B162:B185,"Withdraw",C162:C185,"Brokerage2")</f>
        <v>0</v>
      </c>
      <c r="M189">
        <f>M149+J189-K189-L189</f>
        <v>120000</v>
      </c>
    </row>
    <row r="190" spans="1:13" x14ac:dyDescent="0.2">
      <c r="A190" t="s">
        <v>100</v>
      </c>
      <c r="B190" t="s">
        <v>24</v>
      </c>
      <c r="C190" t="s">
        <v>8</v>
      </c>
      <c r="E190">
        <v>0</v>
      </c>
      <c r="F190" t="s">
        <v>26</v>
      </c>
      <c r="J190">
        <f>SUMIFS(D162:D185,B162:B185,"Deposit",C162:C185,"IRA")</f>
        <v>0</v>
      </c>
      <c r="L190">
        <f>SUMIFS(D162:D185,B162:B185,"Withdraw",C162:C185,"IRA")</f>
        <v>24000</v>
      </c>
      <c r="M190">
        <f>M150+J190-K190-L190</f>
        <v>0</v>
      </c>
    </row>
    <row r="191" spans="1:13" x14ac:dyDescent="0.2">
      <c r="A191" t="s">
        <v>100</v>
      </c>
      <c r="B191" t="s">
        <v>24</v>
      </c>
      <c r="C191" t="s">
        <v>30</v>
      </c>
      <c r="E191">
        <v>120000</v>
      </c>
      <c r="F191" t="s">
        <v>26</v>
      </c>
      <c r="J191">
        <f>SUMIFS(D162:D185,B162:B185,"Deposit",C162:C185,"IRA2")</f>
        <v>0</v>
      </c>
      <c r="L191">
        <f>SUMIFS(D162:D185,B162:B185,"Withdraw",C162:C185,"IRA2")</f>
        <v>0</v>
      </c>
      <c r="M191">
        <f>M151+J191-K191-L191</f>
        <v>120000</v>
      </c>
    </row>
    <row r="192" spans="1:13" x14ac:dyDescent="0.2">
      <c r="A192" t="s">
        <v>100</v>
      </c>
      <c r="B192" t="s">
        <v>24</v>
      </c>
      <c r="C192" t="s">
        <v>11</v>
      </c>
      <c r="E192">
        <v>130000</v>
      </c>
      <c r="F192" t="s">
        <v>26</v>
      </c>
      <c r="J192">
        <f>SUMIFS(D162:D185,B162:B185,"Deposit",C162:C185,"Roth")</f>
        <v>24000</v>
      </c>
      <c r="L192">
        <f>SUMIFS(D162:D185,B162:B185,"Withdraw",C162:C185,"Roth")</f>
        <v>0</v>
      </c>
      <c r="M192">
        <f>M152+J192-K192-L192</f>
        <v>130000</v>
      </c>
    </row>
    <row r="193" spans="1:15" x14ac:dyDescent="0.2">
      <c r="A193" t="s">
        <v>100</v>
      </c>
      <c r="B193" t="s">
        <v>24</v>
      </c>
      <c r="C193" t="s">
        <v>31</v>
      </c>
      <c r="E193">
        <v>10000</v>
      </c>
      <c r="F193" t="s">
        <v>26</v>
      </c>
      <c r="J193">
        <f>SUMIFS(D162:D185,B162:B185,"Deposit",C162:C185,"Roth2")</f>
        <v>0</v>
      </c>
      <c r="L193">
        <f>SUMIFS(D162:D185,B162:B185,"Withdraw",C162:C185,"Roth2")</f>
        <v>0</v>
      </c>
      <c r="M193">
        <f>M153+J193-K193-L193</f>
        <v>10000</v>
      </c>
    </row>
    <row r="194" spans="1:15" x14ac:dyDescent="0.2">
      <c r="A194" t="s">
        <v>100</v>
      </c>
      <c r="B194" t="s">
        <v>32</v>
      </c>
      <c r="C194" t="s">
        <v>33</v>
      </c>
      <c r="E194">
        <v>0</v>
      </c>
      <c r="F194" t="s">
        <v>34</v>
      </c>
      <c r="J194">
        <f>SUMIFS(D162:D185,C162:C185,"Savings",B162:B185,"Deposit",F162:F185,"=*income*")</f>
        <v>0</v>
      </c>
      <c r="K194">
        <f>J194*6.2%</f>
        <v>0</v>
      </c>
    </row>
    <row r="195" spans="1:15" x14ac:dyDescent="0.2">
      <c r="A195" t="s">
        <v>100</v>
      </c>
      <c r="B195" t="s">
        <v>32</v>
      </c>
      <c r="C195" t="s">
        <v>35</v>
      </c>
      <c r="E195">
        <v>0</v>
      </c>
      <c r="F195" t="s">
        <v>36</v>
      </c>
      <c r="J195">
        <f>J194</f>
        <v>0</v>
      </c>
      <c r="K195">
        <f>J195*1.45%</f>
        <v>0</v>
      </c>
    </row>
    <row r="196" spans="1:15" x14ac:dyDescent="0.2">
      <c r="A196" t="s">
        <v>100</v>
      </c>
      <c r="B196" t="s">
        <v>32</v>
      </c>
      <c r="C196" t="s">
        <v>37</v>
      </c>
      <c r="E196">
        <v>0</v>
      </c>
      <c r="F196" t="s">
        <v>38</v>
      </c>
    </row>
    <row r="197" spans="1:15" x14ac:dyDescent="0.2">
      <c r="A197" t="s">
        <v>100</v>
      </c>
      <c r="B197" t="s">
        <v>32</v>
      </c>
      <c r="C197" t="s">
        <v>39</v>
      </c>
      <c r="E197">
        <v>0</v>
      </c>
      <c r="F197" t="s">
        <v>40</v>
      </c>
    </row>
    <row r="198" spans="1:15" x14ac:dyDescent="0.2">
      <c r="A198" t="s">
        <v>100</v>
      </c>
      <c r="B198" t="s">
        <v>32</v>
      </c>
      <c r="C198" t="s">
        <v>41</v>
      </c>
      <c r="E198">
        <v>24000</v>
      </c>
      <c r="F198" t="s">
        <v>42</v>
      </c>
      <c r="J198">
        <f>J194</f>
        <v>0</v>
      </c>
      <c r="K198">
        <v>0</v>
      </c>
      <c r="L198">
        <f>SUM(L188:L189)/2</f>
        <v>0</v>
      </c>
      <c r="M198">
        <f>SUM(L190:L191)</f>
        <v>24000</v>
      </c>
      <c r="O198">
        <f>SUM(J198:N198)</f>
        <v>24000</v>
      </c>
    </row>
    <row r="199" spans="1:15" x14ac:dyDescent="0.2">
      <c r="A199" t="s">
        <v>100</v>
      </c>
      <c r="B199" t="s">
        <v>32</v>
      </c>
      <c r="C199" t="s">
        <v>43</v>
      </c>
      <c r="E199">
        <v>0</v>
      </c>
      <c r="F199" t="s">
        <v>44</v>
      </c>
    </row>
    <row r="200" spans="1:15" x14ac:dyDescent="0.2">
      <c r="A200" t="s">
        <v>100</v>
      </c>
      <c r="B200" t="s">
        <v>32</v>
      </c>
      <c r="C200" t="s">
        <v>45</v>
      </c>
      <c r="E200">
        <v>0</v>
      </c>
      <c r="F200" t="s">
        <v>46</v>
      </c>
    </row>
    <row r="201" spans="1:15" x14ac:dyDescent="0.2">
      <c r="A201" t="s">
        <v>100</v>
      </c>
      <c r="B201" t="s">
        <v>32</v>
      </c>
      <c r="C201" t="s">
        <v>47</v>
      </c>
      <c r="E201">
        <v>0</v>
      </c>
      <c r="F201" t="s">
        <v>48</v>
      </c>
    </row>
    <row r="202" spans="1:15" x14ac:dyDescent="0.2">
      <c r="A202" t="s">
        <v>133</v>
      </c>
      <c r="B202" t="s">
        <v>7</v>
      </c>
      <c r="C202" t="s">
        <v>30</v>
      </c>
      <c r="D202">
        <v>2000</v>
      </c>
      <c r="E202">
        <v>118000</v>
      </c>
      <c r="F202" t="s">
        <v>9</v>
      </c>
    </row>
    <row r="203" spans="1:15" x14ac:dyDescent="0.2">
      <c r="A203" t="s">
        <v>133</v>
      </c>
      <c r="B203" t="s">
        <v>10</v>
      </c>
      <c r="C203" t="s">
        <v>31</v>
      </c>
      <c r="D203">
        <v>2000</v>
      </c>
      <c r="E203">
        <v>12000</v>
      </c>
      <c r="F203" t="s">
        <v>9</v>
      </c>
    </row>
    <row r="204" spans="1:15" x14ac:dyDescent="0.2">
      <c r="A204" t="s">
        <v>134</v>
      </c>
      <c r="B204" t="s">
        <v>7</v>
      </c>
      <c r="C204" t="s">
        <v>30</v>
      </c>
      <c r="D204">
        <v>2000</v>
      </c>
      <c r="E204">
        <v>116000</v>
      </c>
      <c r="F204" t="s">
        <v>9</v>
      </c>
    </row>
    <row r="205" spans="1:15" x14ac:dyDescent="0.2">
      <c r="A205" t="s">
        <v>134</v>
      </c>
      <c r="B205" t="s">
        <v>10</v>
      </c>
      <c r="C205" t="s">
        <v>31</v>
      </c>
      <c r="D205">
        <v>2000</v>
      </c>
      <c r="E205">
        <v>14000</v>
      </c>
      <c r="F205" t="s">
        <v>9</v>
      </c>
    </row>
    <row r="206" spans="1:15" x14ac:dyDescent="0.2">
      <c r="A206" t="s">
        <v>135</v>
      </c>
      <c r="B206" t="s">
        <v>7</v>
      </c>
      <c r="C206" t="s">
        <v>30</v>
      </c>
      <c r="D206">
        <v>2000</v>
      </c>
      <c r="E206">
        <v>114000</v>
      </c>
      <c r="F206" t="s">
        <v>9</v>
      </c>
    </row>
    <row r="207" spans="1:15" x14ac:dyDescent="0.2">
      <c r="A207" t="s">
        <v>135</v>
      </c>
      <c r="B207" t="s">
        <v>10</v>
      </c>
      <c r="C207" t="s">
        <v>31</v>
      </c>
      <c r="D207">
        <v>2000</v>
      </c>
      <c r="E207">
        <v>16000</v>
      </c>
      <c r="F207" t="s">
        <v>9</v>
      </c>
    </row>
    <row r="208" spans="1:15" x14ac:dyDescent="0.2">
      <c r="A208" t="s">
        <v>136</v>
      </c>
      <c r="B208" t="s">
        <v>7</v>
      </c>
      <c r="C208" t="s">
        <v>30</v>
      </c>
      <c r="D208">
        <v>2000</v>
      </c>
      <c r="E208">
        <v>112000</v>
      </c>
      <c r="F208" t="s">
        <v>9</v>
      </c>
    </row>
    <row r="209" spans="1:6" x14ac:dyDescent="0.2">
      <c r="A209" t="s">
        <v>136</v>
      </c>
      <c r="B209" t="s">
        <v>10</v>
      </c>
      <c r="C209" t="s">
        <v>31</v>
      </c>
      <c r="D209">
        <v>2000</v>
      </c>
      <c r="E209">
        <v>18000</v>
      </c>
      <c r="F209" t="s">
        <v>9</v>
      </c>
    </row>
    <row r="210" spans="1:6" x14ac:dyDescent="0.2">
      <c r="A210" t="s">
        <v>137</v>
      </c>
      <c r="B210" t="s">
        <v>7</v>
      </c>
      <c r="C210" t="s">
        <v>30</v>
      </c>
      <c r="D210">
        <v>2000</v>
      </c>
      <c r="E210">
        <v>110000</v>
      </c>
      <c r="F210" t="s">
        <v>9</v>
      </c>
    </row>
    <row r="211" spans="1:6" x14ac:dyDescent="0.2">
      <c r="A211" t="s">
        <v>137</v>
      </c>
      <c r="B211" t="s">
        <v>10</v>
      </c>
      <c r="C211" t="s">
        <v>31</v>
      </c>
      <c r="D211">
        <v>2000</v>
      </c>
      <c r="E211">
        <v>20000</v>
      </c>
      <c r="F211" t="s">
        <v>9</v>
      </c>
    </row>
    <row r="212" spans="1:6" x14ac:dyDescent="0.2">
      <c r="A212" t="s">
        <v>138</v>
      </c>
      <c r="B212" t="s">
        <v>7</v>
      </c>
      <c r="C212" t="s">
        <v>30</v>
      </c>
      <c r="D212">
        <v>2000</v>
      </c>
      <c r="E212">
        <v>108000</v>
      </c>
      <c r="F212" t="s">
        <v>9</v>
      </c>
    </row>
    <row r="213" spans="1:6" x14ac:dyDescent="0.2">
      <c r="A213" t="s">
        <v>138</v>
      </c>
      <c r="B213" t="s">
        <v>10</v>
      </c>
      <c r="C213" t="s">
        <v>31</v>
      </c>
      <c r="D213">
        <v>2000</v>
      </c>
      <c r="E213">
        <v>22000</v>
      </c>
      <c r="F213" t="s">
        <v>9</v>
      </c>
    </row>
    <row r="214" spans="1:6" x14ac:dyDescent="0.2">
      <c r="A214" t="s">
        <v>139</v>
      </c>
      <c r="B214" t="s">
        <v>7</v>
      </c>
      <c r="C214" t="s">
        <v>30</v>
      </c>
      <c r="D214">
        <v>2000</v>
      </c>
      <c r="E214">
        <v>106000</v>
      </c>
      <c r="F214" t="s">
        <v>9</v>
      </c>
    </row>
    <row r="215" spans="1:6" x14ac:dyDescent="0.2">
      <c r="A215" t="s">
        <v>139</v>
      </c>
      <c r="B215" t="s">
        <v>10</v>
      </c>
      <c r="C215" t="s">
        <v>31</v>
      </c>
      <c r="D215">
        <v>2000</v>
      </c>
      <c r="E215">
        <v>24000</v>
      </c>
      <c r="F215" t="s">
        <v>9</v>
      </c>
    </row>
    <row r="216" spans="1:6" x14ac:dyDescent="0.2">
      <c r="A216" t="s">
        <v>140</v>
      </c>
      <c r="B216" t="s">
        <v>7</v>
      </c>
      <c r="C216" t="s">
        <v>30</v>
      </c>
      <c r="D216">
        <v>2000</v>
      </c>
      <c r="E216">
        <v>104000</v>
      </c>
      <c r="F216" t="s">
        <v>9</v>
      </c>
    </row>
    <row r="217" spans="1:6" x14ac:dyDescent="0.2">
      <c r="A217" t="s">
        <v>140</v>
      </c>
      <c r="B217" t="s">
        <v>10</v>
      </c>
      <c r="C217" t="s">
        <v>31</v>
      </c>
      <c r="D217">
        <v>2000</v>
      </c>
      <c r="E217">
        <v>26000</v>
      </c>
      <c r="F217" t="s">
        <v>9</v>
      </c>
    </row>
    <row r="218" spans="1:6" x14ac:dyDescent="0.2">
      <c r="A218" t="s">
        <v>141</v>
      </c>
      <c r="B218" t="s">
        <v>7</v>
      </c>
      <c r="C218" t="s">
        <v>30</v>
      </c>
      <c r="D218">
        <v>2000</v>
      </c>
      <c r="E218">
        <v>102000</v>
      </c>
      <c r="F218" t="s">
        <v>9</v>
      </c>
    </row>
    <row r="219" spans="1:6" x14ac:dyDescent="0.2">
      <c r="A219" t="s">
        <v>141</v>
      </c>
      <c r="B219" t="s">
        <v>10</v>
      </c>
      <c r="C219" t="s">
        <v>31</v>
      </c>
      <c r="D219">
        <v>2000</v>
      </c>
      <c r="E219">
        <v>28000</v>
      </c>
      <c r="F219" t="s">
        <v>9</v>
      </c>
    </row>
    <row r="220" spans="1:6" x14ac:dyDescent="0.2">
      <c r="A220" t="s">
        <v>142</v>
      </c>
      <c r="B220" t="s">
        <v>7</v>
      </c>
      <c r="C220" t="s">
        <v>30</v>
      </c>
      <c r="D220">
        <v>2000</v>
      </c>
      <c r="E220">
        <v>100000</v>
      </c>
      <c r="F220" t="s">
        <v>9</v>
      </c>
    </row>
    <row r="221" spans="1:6" x14ac:dyDescent="0.2">
      <c r="A221" t="s">
        <v>142</v>
      </c>
      <c r="B221" t="s">
        <v>10</v>
      </c>
      <c r="C221" t="s">
        <v>31</v>
      </c>
      <c r="D221">
        <v>2000</v>
      </c>
      <c r="E221">
        <v>30000</v>
      </c>
      <c r="F221" t="s">
        <v>9</v>
      </c>
    </row>
    <row r="222" spans="1:6" x14ac:dyDescent="0.2">
      <c r="A222" t="s">
        <v>143</v>
      </c>
      <c r="B222" t="s">
        <v>7</v>
      </c>
      <c r="C222" t="s">
        <v>30</v>
      </c>
      <c r="D222">
        <v>2000</v>
      </c>
      <c r="E222">
        <v>98000</v>
      </c>
      <c r="F222" t="s">
        <v>9</v>
      </c>
    </row>
    <row r="223" spans="1:6" x14ac:dyDescent="0.2">
      <c r="A223" t="s">
        <v>143</v>
      </c>
      <c r="B223" t="s">
        <v>10</v>
      </c>
      <c r="C223" t="s">
        <v>31</v>
      </c>
      <c r="D223">
        <v>2000</v>
      </c>
      <c r="E223">
        <v>32000</v>
      </c>
      <c r="F223" t="s">
        <v>9</v>
      </c>
    </row>
    <row r="224" spans="1:6" x14ac:dyDescent="0.2">
      <c r="A224" t="s">
        <v>144</v>
      </c>
      <c r="B224" t="s">
        <v>7</v>
      </c>
      <c r="C224" t="s">
        <v>30</v>
      </c>
      <c r="D224">
        <v>2000</v>
      </c>
      <c r="E224">
        <v>96000</v>
      </c>
      <c r="F224" t="s">
        <v>9</v>
      </c>
    </row>
    <row r="225" spans="1:15" x14ac:dyDescent="0.2">
      <c r="A225" t="s">
        <v>144</v>
      </c>
      <c r="B225" t="s">
        <v>10</v>
      </c>
      <c r="C225" t="s">
        <v>31</v>
      </c>
      <c r="D225">
        <v>2000</v>
      </c>
      <c r="E225">
        <v>34000</v>
      </c>
      <c r="F225" t="s">
        <v>9</v>
      </c>
    </row>
    <row r="226" spans="1:15" x14ac:dyDescent="0.2">
      <c r="A226" t="s">
        <v>101</v>
      </c>
      <c r="B226" t="s">
        <v>24</v>
      </c>
      <c r="C226" t="s">
        <v>25</v>
      </c>
      <c r="E226">
        <v>120000</v>
      </c>
      <c r="F226" t="s">
        <v>26</v>
      </c>
      <c r="J226">
        <f>SUMIFS(D202:D225,B202:B225,"Deposit",C202:C225,"Savings")</f>
        <v>0</v>
      </c>
      <c r="K226">
        <f>SUMIFS(D202:D225,B202:B225,"Payment",C202:C225,"Savings")</f>
        <v>0</v>
      </c>
      <c r="L226">
        <f>SUMIFS(D202:D225,B202:B225,"Withdraw",C202:C225,"Savings")</f>
        <v>0</v>
      </c>
      <c r="M226">
        <f>M186+J226-K226-L226</f>
        <v>120000</v>
      </c>
    </row>
    <row r="227" spans="1:15" x14ac:dyDescent="0.2">
      <c r="A227" t="s">
        <v>101</v>
      </c>
      <c r="B227" t="s">
        <v>24</v>
      </c>
      <c r="C227" t="s">
        <v>27</v>
      </c>
      <c r="E227">
        <v>120000</v>
      </c>
      <c r="F227" t="s">
        <v>26</v>
      </c>
      <c r="J227">
        <f>SUMIFS(D202:D225,B202:B225,"Deposit",C202:C225,"Savings2")</f>
        <v>0</v>
      </c>
      <c r="L227">
        <f>SUMIFS(D202:D225,B202:B225,"Withdraw",C202:C225,"Savings2")</f>
        <v>0</v>
      </c>
      <c r="M227">
        <f>M187+J227-K227-L227</f>
        <v>120000</v>
      </c>
    </row>
    <row r="228" spans="1:15" x14ac:dyDescent="0.2">
      <c r="A228" t="s">
        <v>101</v>
      </c>
      <c r="B228" t="s">
        <v>24</v>
      </c>
      <c r="C228" t="s">
        <v>28</v>
      </c>
      <c r="E228">
        <v>120000</v>
      </c>
      <c r="F228" t="s">
        <v>26</v>
      </c>
      <c r="J228">
        <f>SUMIFS(D202:D225,B202:B225,"Deposit",C202:C225,"Brokerage")</f>
        <v>0</v>
      </c>
      <c r="L228">
        <f>SUMIFS(D202:D225,B202:B225,"Withdraw",C202:C225,"Brokerage")</f>
        <v>0</v>
      </c>
      <c r="M228">
        <f>M188+J228-K228-L228</f>
        <v>120000</v>
      </c>
    </row>
    <row r="229" spans="1:15" x14ac:dyDescent="0.2">
      <c r="A229" t="s">
        <v>101</v>
      </c>
      <c r="B229" t="s">
        <v>24</v>
      </c>
      <c r="C229" t="s">
        <v>29</v>
      </c>
      <c r="E229">
        <v>120000</v>
      </c>
      <c r="F229" t="s">
        <v>26</v>
      </c>
      <c r="J229">
        <f>SUMIFS(D202:D225,B202:B225,"Deposit",C202:C225,"Brokerage2")</f>
        <v>0</v>
      </c>
      <c r="L229">
        <f>SUMIFS(D202:D225,B202:B225,"Withdraw",C202:C225,"Brokerage2")</f>
        <v>0</v>
      </c>
      <c r="M229">
        <f>M189+J229-K229-L229</f>
        <v>120000</v>
      </c>
    </row>
    <row r="230" spans="1:15" x14ac:dyDescent="0.2">
      <c r="A230" t="s">
        <v>101</v>
      </c>
      <c r="B230" t="s">
        <v>24</v>
      </c>
      <c r="C230" t="s">
        <v>8</v>
      </c>
      <c r="E230">
        <v>0</v>
      </c>
      <c r="F230" t="s">
        <v>26</v>
      </c>
      <c r="J230">
        <f>SUMIFS(D202:D225,B202:B225,"Deposit",C202:C225,"IRA")</f>
        <v>0</v>
      </c>
      <c r="L230">
        <f>SUMIFS(D202:D225,B202:B225,"Withdraw",C202:C225,"IRA")</f>
        <v>0</v>
      </c>
      <c r="M230">
        <f>M190+J230-K230-L230</f>
        <v>0</v>
      </c>
    </row>
    <row r="231" spans="1:15" x14ac:dyDescent="0.2">
      <c r="A231" t="s">
        <v>101</v>
      </c>
      <c r="B231" t="s">
        <v>24</v>
      </c>
      <c r="C231" t="s">
        <v>30</v>
      </c>
      <c r="E231">
        <v>96000</v>
      </c>
      <c r="F231" t="s">
        <v>26</v>
      </c>
      <c r="J231">
        <f>SUMIFS(D202:D225,B202:B225,"Deposit",C202:C225,"IRA2")</f>
        <v>0</v>
      </c>
      <c r="L231">
        <f>SUMIFS(D202:D225,B202:B225,"Withdraw",C202:C225,"IRA2")</f>
        <v>24000</v>
      </c>
      <c r="M231">
        <f>M191+J231-K231-L231</f>
        <v>96000</v>
      </c>
    </row>
    <row r="232" spans="1:15" x14ac:dyDescent="0.2">
      <c r="A232" t="s">
        <v>101</v>
      </c>
      <c r="B232" t="s">
        <v>24</v>
      </c>
      <c r="C232" t="s">
        <v>11</v>
      </c>
      <c r="E232">
        <v>130000</v>
      </c>
      <c r="F232" t="s">
        <v>26</v>
      </c>
      <c r="J232">
        <f>SUMIFS(D202:D225,B202:B225,"Deposit",C202:C225,"Roth")</f>
        <v>0</v>
      </c>
      <c r="L232">
        <f>SUMIFS(D202:D225,B202:B225,"Withdraw",C202:C225,"Roth")</f>
        <v>0</v>
      </c>
      <c r="M232">
        <f>M192+J232-K232-L232</f>
        <v>130000</v>
      </c>
    </row>
    <row r="233" spans="1:15" x14ac:dyDescent="0.2">
      <c r="A233" t="s">
        <v>101</v>
      </c>
      <c r="B233" t="s">
        <v>24</v>
      </c>
      <c r="C233" t="s">
        <v>31</v>
      </c>
      <c r="E233">
        <v>34000</v>
      </c>
      <c r="F233" t="s">
        <v>26</v>
      </c>
      <c r="J233">
        <f>SUMIFS(D202:D225,B202:B225,"Deposit",C202:C225,"Roth2")</f>
        <v>24000</v>
      </c>
      <c r="L233">
        <f>SUMIFS(D202:D225,B202:B225,"Withdraw",C202:C225,"Roth2")</f>
        <v>0</v>
      </c>
      <c r="M233">
        <f>M193+J233-K233-L233</f>
        <v>34000</v>
      </c>
    </row>
    <row r="234" spans="1:15" x14ac:dyDescent="0.2">
      <c r="A234" t="s">
        <v>101</v>
      </c>
      <c r="B234" t="s">
        <v>32</v>
      </c>
      <c r="C234" t="s">
        <v>33</v>
      </c>
      <c r="E234">
        <v>0</v>
      </c>
      <c r="F234" t="s">
        <v>34</v>
      </c>
      <c r="J234">
        <f>SUMIFS(D202:D225,C202:C225,"Savings",B202:B225,"Deposit",F202:F225,"=*income*")</f>
        <v>0</v>
      </c>
      <c r="K234">
        <f>J234*6.2%</f>
        <v>0</v>
      </c>
    </row>
    <row r="235" spans="1:15" x14ac:dyDescent="0.2">
      <c r="A235" t="s">
        <v>101</v>
      </c>
      <c r="B235" t="s">
        <v>32</v>
      </c>
      <c r="C235" t="s">
        <v>35</v>
      </c>
      <c r="E235">
        <v>0</v>
      </c>
      <c r="F235" t="s">
        <v>36</v>
      </c>
      <c r="J235">
        <f>J234</f>
        <v>0</v>
      </c>
      <c r="K235">
        <f>J235*1.45%</f>
        <v>0</v>
      </c>
    </row>
    <row r="236" spans="1:15" x14ac:dyDescent="0.2">
      <c r="A236" t="s">
        <v>101</v>
      </c>
      <c r="B236" t="s">
        <v>32</v>
      </c>
      <c r="C236" t="s">
        <v>37</v>
      </c>
      <c r="E236">
        <v>0</v>
      </c>
      <c r="F236" t="s">
        <v>38</v>
      </c>
    </row>
    <row r="237" spans="1:15" x14ac:dyDescent="0.2">
      <c r="A237" t="s">
        <v>101</v>
      </c>
      <c r="B237" t="s">
        <v>32</v>
      </c>
      <c r="C237" t="s">
        <v>39</v>
      </c>
      <c r="E237">
        <v>0</v>
      </c>
      <c r="F237" t="s">
        <v>40</v>
      </c>
    </row>
    <row r="238" spans="1:15" x14ac:dyDescent="0.2">
      <c r="A238" t="s">
        <v>101</v>
      </c>
      <c r="B238" t="s">
        <v>32</v>
      </c>
      <c r="C238" t="s">
        <v>41</v>
      </c>
      <c r="E238">
        <v>24000</v>
      </c>
      <c r="F238" t="s">
        <v>42</v>
      </c>
      <c r="J238">
        <f>J234</f>
        <v>0</v>
      </c>
      <c r="K238">
        <v>0</v>
      </c>
      <c r="L238">
        <f>SUM(L228:L229)/2</f>
        <v>0</v>
      </c>
      <c r="M238">
        <f>SUM(L230:L231)</f>
        <v>24000</v>
      </c>
      <c r="O238">
        <f>SUM(J238:N238)</f>
        <v>24000</v>
      </c>
    </row>
    <row r="239" spans="1:15" x14ac:dyDescent="0.2">
      <c r="A239" t="s">
        <v>101</v>
      </c>
      <c r="B239" t="s">
        <v>32</v>
      </c>
      <c r="C239" t="s">
        <v>43</v>
      </c>
      <c r="E239">
        <v>0</v>
      </c>
      <c r="F239" t="s">
        <v>44</v>
      </c>
    </row>
    <row r="240" spans="1:15" x14ac:dyDescent="0.2">
      <c r="A240" t="s">
        <v>101</v>
      </c>
      <c r="B240" t="s">
        <v>32</v>
      </c>
      <c r="C240" t="s">
        <v>45</v>
      </c>
      <c r="E240">
        <v>0</v>
      </c>
      <c r="F240" t="s">
        <v>46</v>
      </c>
    </row>
    <row r="241" spans="1:6" x14ac:dyDescent="0.2">
      <c r="A241" t="s">
        <v>101</v>
      </c>
      <c r="B241" t="s">
        <v>32</v>
      </c>
      <c r="C241" t="s">
        <v>47</v>
      </c>
      <c r="E241">
        <v>0</v>
      </c>
      <c r="F241" t="s">
        <v>48</v>
      </c>
    </row>
    <row r="242" spans="1:6" x14ac:dyDescent="0.2">
      <c r="A242" t="s">
        <v>145</v>
      </c>
      <c r="B242" t="s">
        <v>7</v>
      </c>
      <c r="C242" t="s">
        <v>30</v>
      </c>
      <c r="D242">
        <v>2000</v>
      </c>
      <c r="E242">
        <v>94000</v>
      </c>
      <c r="F242" t="s">
        <v>9</v>
      </c>
    </row>
    <row r="243" spans="1:6" x14ac:dyDescent="0.2">
      <c r="A243" t="s">
        <v>145</v>
      </c>
      <c r="B243" t="s">
        <v>10</v>
      </c>
      <c r="C243" t="s">
        <v>31</v>
      </c>
      <c r="D243">
        <v>2000</v>
      </c>
      <c r="E243">
        <v>36000</v>
      </c>
      <c r="F243" t="s">
        <v>9</v>
      </c>
    </row>
    <row r="244" spans="1:6" x14ac:dyDescent="0.2">
      <c r="A244" t="s">
        <v>146</v>
      </c>
      <c r="B244" t="s">
        <v>7</v>
      </c>
      <c r="C244" t="s">
        <v>30</v>
      </c>
      <c r="D244">
        <v>2000</v>
      </c>
      <c r="E244">
        <v>92000</v>
      </c>
      <c r="F244" t="s">
        <v>9</v>
      </c>
    </row>
    <row r="245" spans="1:6" x14ac:dyDescent="0.2">
      <c r="A245" t="s">
        <v>146</v>
      </c>
      <c r="B245" t="s">
        <v>10</v>
      </c>
      <c r="C245" t="s">
        <v>31</v>
      </c>
      <c r="D245">
        <v>2000</v>
      </c>
      <c r="E245">
        <v>38000</v>
      </c>
      <c r="F245" t="s">
        <v>9</v>
      </c>
    </row>
    <row r="246" spans="1:6" x14ac:dyDescent="0.2">
      <c r="A246" t="s">
        <v>147</v>
      </c>
      <c r="B246" t="s">
        <v>7</v>
      </c>
      <c r="C246" t="s">
        <v>30</v>
      </c>
      <c r="D246">
        <v>2000</v>
      </c>
      <c r="E246">
        <v>90000</v>
      </c>
      <c r="F246" t="s">
        <v>9</v>
      </c>
    </row>
    <row r="247" spans="1:6" x14ac:dyDescent="0.2">
      <c r="A247" t="s">
        <v>147</v>
      </c>
      <c r="B247" t="s">
        <v>10</v>
      </c>
      <c r="C247" t="s">
        <v>31</v>
      </c>
      <c r="D247">
        <v>2000</v>
      </c>
      <c r="E247">
        <v>40000</v>
      </c>
      <c r="F247" t="s">
        <v>9</v>
      </c>
    </row>
    <row r="248" spans="1:6" x14ac:dyDescent="0.2">
      <c r="A248" t="s">
        <v>148</v>
      </c>
      <c r="B248" t="s">
        <v>7</v>
      </c>
      <c r="C248" t="s">
        <v>30</v>
      </c>
      <c r="D248">
        <v>2000</v>
      </c>
      <c r="E248">
        <v>88000</v>
      </c>
      <c r="F248" t="s">
        <v>9</v>
      </c>
    </row>
    <row r="249" spans="1:6" x14ac:dyDescent="0.2">
      <c r="A249" t="s">
        <v>148</v>
      </c>
      <c r="B249" t="s">
        <v>10</v>
      </c>
      <c r="C249" t="s">
        <v>31</v>
      </c>
      <c r="D249">
        <v>2000</v>
      </c>
      <c r="E249">
        <v>42000</v>
      </c>
      <c r="F249" t="s">
        <v>9</v>
      </c>
    </row>
    <row r="250" spans="1:6" x14ac:dyDescent="0.2">
      <c r="A250" t="s">
        <v>149</v>
      </c>
      <c r="B250" t="s">
        <v>7</v>
      </c>
      <c r="C250" t="s">
        <v>30</v>
      </c>
      <c r="D250">
        <v>2000</v>
      </c>
      <c r="E250">
        <v>86000</v>
      </c>
      <c r="F250" t="s">
        <v>9</v>
      </c>
    </row>
    <row r="251" spans="1:6" x14ac:dyDescent="0.2">
      <c r="A251" t="s">
        <v>149</v>
      </c>
      <c r="B251" t="s">
        <v>10</v>
      </c>
      <c r="C251" t="s">
        <v>31</v>
      </c>
      <c r="D251">
        <v>2000</v>
      </c>
      <c r="E251">
        <v>44000</v>
      </c>
      <c r="F251" t="s">
        <v>9</v>
      </c>
    </row>
    <row r="252" spans="1:6" x14ac:dyDescent="0.2">
      <c r="A252" t="s">
        <v>150</v>
      </c>
      <c r="B252" t="s">
        <v>7</v>
      </c>
      <c r="C252" t="s">
        <v>30</v>
      </c>
      <c r="D252">
        <v>2000</v>
      </c>
      <c r="E252">
        <v>84000</v>
      </c>
      <c r="F252" t="s">
        <v>9</v>
      </c>
    </row>
    <row r="253" spans="1:6" x14ac:dyDescent="0.2">
      <c r="A253" t="s">
        <v>150</v>
      </c>
      <c r="B253" t="s">
        <v>10</v>
      </c>
      <c r="C253" t="s">
        <v>31</v>
      </c>
      <c r="D253">
        <v>2000</v>
      </c>
      <c r="E253">
        <v>46000</v>
      </c>
      <c r="F253" t="s">
        <v>9</v>
      </c>
    </row>
    <row r="254" spans="1:6" x14ac:dyDescent="0.2">
      <c r="A254" t="s">
        <v>151</v>
      </c>
      <c r="B254" t="s">
        <v>7</v>
      </c>
      <c r="C254" t="s">
        <v>30</v>
      </c>
      <c r="D254">
        <v>2000</v>
      </c>
      <c r="E254">
        <v>82000</v>
      </c>
      <c r="F254" t="s">
        <v>9</v>
      </c>
    </row>
    <row r="255" spans="1:6" x14ac:dyDescent="0.2">
      <c r="A255" t="s">
        <v>151</v>
      </c>
      <c r="B255" t="s">
        <v>10</v>
      </c>
      <c r="C255" t="s">
        <v>31</v>
      </c>
      <c r="D255">
        <v>2000</v>
      </c>
      <c r="E255">
        <v>48000</v>
      </c>
      <c r="F255" t="s">
        <v>9</v>
      </c>
    </row>
    <row r="256" spans="1:6" x14ac:dyDescent="0.2">
      <c r="A256" t="s">
        <v>152</v>
      </c>
      <c r="B256" t="s">
        <v>7</v>
      </c>
      <c r="C256" t="s">
        <v>30</v>
      </c>
      <c r="D256">
        <v>2000</v>
      </c>
      <c r="E256">
        <v>80000</v>
      </c>
      <c r="F256" t="s">
        <v>9</v>
      </c>
    </row>
    <row r="257" spans="1:13" x14ac:dyDescent="0.2">
      <c r="A257" t="s">
        <v>152</v>
      </c>
      <c r="B257" t="s">
        <v>10</v>
      </c>
      <c r="C257" t="s">
        <v>31</v>
      </c>
      <c r="D257">
        <v>2000</v>
      </c>
      <c r="E257">
        <v>50000</v>
      </c>
      <c r="F257" t="s">
        <v>9</v>
      </c>
    </row>
    <row r="258" spans="1:13" x14ac:dyDescent="0.2">
      <c r="A258" t="s">
        <v>153</v>
      </c>
      <c r="B258" t="s">
        <v>7</v>
      </c>
      <c r="C258" t="s">
        <v>30</v>
      </c>
      <c r="D258">
        <v>2000</v>
      </c>
      <c r="E258">
        <v>78000</v>
      </c>
      <c r="F258" t="s">
        <v>9</v>
      </c>
    </row>
    <row r="259" spans="1:13" x14ac:dyDescent="0.2">
      <c r="A259" t="s">
        <v>153</v>
      </c>
      <c r="B259" t="s">
        <v>10</v>
      </c>
      <c r="C259" t="s">
        <v>31</v>
      </c>
      <c r="D259">
        <v>2000</v>
      </c>
      <c r="E259">
        <v>52000</v>
      </c>
      <c r="F259" t="s">
        <v>9</v>
      </c>
    </row>
    <row r="260" spans="1:13" x14ac:dyDescent="0.2">
      <c r="A260" t="s">
        <v>154</v>
      </c>
      <c r="B260" t="s">
        <v>7</v>
      </c>
      <c r="C260" t="s">
        <v>30</v>
      </c>
      <c r="D260">
        <v>2000</v>
      </c>
      <c r="E260">
        <v>76000</v>
      </c>
      <c r="F260" t="s">
        <v>9</v>
      </c>
    </row>
    <row r="261" spans="1:13" x14ac:dyDescent="0.2">
      <c r="A261" t="s">
        <v>154</v>
      </c>
      <c r="B261" t="s">
        <v>10</v>
      </c>
      <c r="C261" t="s">
        <v>31</v>
      </c>
      <c r="D261">
        <v>2000</v>
      </c>
      <c r="E261">
        <v>54000</v>
      </c>
      <c r="F261" t="s">
        <v>9</v>
      </c>
    </row>
    <row r="262" spans="1:13" x14ac:dyDescent="0.2">
      <c r="A262" t="s">
        <v>155</v>
      </c>
      <c r="B262" t="s">
        <v>7</v>
      </c>
      <c r="C262" t="s">
        <v>30</v>
      </c>
      <c r="D262">
        <v>2000</v>
      </c>
      <c r="E262">
        <v>74000</v>
      </c>
      <c r="F262" t="s">
        <v>9</v>
      </c>
    </row>
    <row r="263" spans="1:13" x14ac:dyDescent="0.2">
      <c r="A263" t="s">
        <v>155</v>
      </c>
      <c r="B263" t="s">
        <v>10</v>
      </c>
      <c r="C263" t="s">
        <v>31</v>
      </c>
      <c r="D263">
        <v>2000</v>
      </c>
      <c r="E263">
        <v>56000</v>
      </c>
      <c r="F263" t="s">
        <v>9</v>
      </c>
    </row>
    <row r="264" spans="1:13" x14ac:dyDescent="0.2">
      <c r="A264" t="s">
        <v>156</v>
      </c>
      <c r="B264" t="s">
        <v>7</v>
      </c>
      <c r="C264" t="s">
        <v>30</v>
      </c>
      <c r="D264">
        <v>2000</v>
      </c>
      <c r="E264">
        <v>72000</v>
      </c>
      <c r="F264" t="s">
        <v>9</v>
      </c>
    </row>
    <row r="265" spans="1:13" x14ac:dyDescent="0.2">
      <c r="A265" t="s">
        <v>156</v>
      </c>
      <c r="B265" t="s">
        <v>10</v>
      </c>
      <c r="C265" t="s">
        <v>31</v>
      </c>
      <c r="D265">
        <v>2000</v>
      </c>
      <c r="E265">
        <v>58000</v>
      </c>
      <c r="F265" t="s">
        <v>9</v>
      </c>
    </row>
    <row r="266" spans="1:13" x14ac:dyDescent="0.2">
      <c r="A266" t="s">
        <v>102</v>
      </c>
      <c r="B266" t="s">
        <v>24</v>
      </c>
      <c r="C266" t="s">
        <v>25</v>
      </c>
      <c r="E266">
        <v>120000</v>
      </c>
      <c r="F266" t="s">
        <v>26</v>
      </c>
      <c r="J266">
        <f>SUMIFS(D242:D265,B242:B265,"Deposit",C242:C265,"Savings")</f>
        <v>0</v>
      </c>
      <c r="K266">
        <f>SUMIFS(D242:D265,B242:B265,"Payment",C242:C265,"Savings")</f>
        <v>0</v>
      </c>
      <c r="L266">
        <f>SUMIFS(D242:D265,B242:B265,"Withdraw",C242:C265,"Savings")</f>
        <v>0</v>
      </c>
      <c r="M266">
        <f>M226+J266-K266-L266</f>
        <v>120000</v>
      </c>
    </row>
    <row r="267" spans="1:13" x14ac:dyDescent="0.2">
      <c r="A267" t="s">
        <v>102</v>
      </c>
      <c r="B267" t="s">
        <v>24</v>
      </c>
      <c r="C267" t="s">
        <v>27</v>
      </c>
      <c r="E267">
        <v>120000</v>
      </c>
      <c r="F267" t="s">
        <v>26</v>
      </c>
      <c r="J267">
        <f>SUMIFS(D242:D265,B242:B265,"Deposit",C242:C265,"Savings2")</f>
        <v>0</v>
      </c>
      <c r="L267">
        <f>SUMIFS(D242:D265,B242:B265,"Withdraw",C242:C265,"Savings2")</f>
        <v>0</v>
      </c>
      <c r="M267">
        <f>M227+J267-K267-L267</f>
        <v>120000</v>
      </c>
    </row>
    <row r="268" spans="1:13" x14ac:dyDescent="0.2">
      <c r="A268" t="s">
        <v>102</v>
      </c>
      <c r="B268" t="s">
        <v>24</v>
      </c>
      <c r="C268" t="s">
        <v>28</v>
      </c>
      <c r="E268">
        <v>120000</v>
      </c>
      <c r="F268" t="s">
        <v>26</v>
      </c>
      <c r="J268">
        <f>SUMIFS(D242:D265,B242:B265,"Deposit",C242:C265,"Brokerage")</f>
        <v>0</v>
      </c>
      <c r="L268">
        <f>SUMIFS(D242:D265,B242:B265,"Withdraw",C242:C265,"Brokerage")</f>
        <v>0</v>
      </c>
      <c r="M268">
        <f>M228+J268-K268-L268</f>
        <v>120000</v>
      </c>
    </row>
    <row r="269" spans="1:13" x14ac:dyDescent="0.2">
      <c r="A269" t="s">
        <v>102</v>
      </c>
      <c r="B269" t="s">
        <v>24</v>
      </c>
      <c r="C269" t="s">
        <v>29</v>
      </c>
      <c r="E269">
        <v>120000</v>
      </c>
      <c r="F269" t="s">
        <v>26</v>
      </c>
      <c r="J269">
        <f>SUMIFS(D242:D265,B242:B265,"Deposit",C242:C265,"Brokerage2")</f>
        <v>0</v>
      </c>
      <c r="L269">
        <f>SUMIFS(D242:D265,B242:B265,"Withdraw",C242:C265,"Brokerage2")</f>
        <v>0</v>
      </c>
      <c r="M269">
        <f>M229+J269-K269-L269</f>
        <v>120000</v>
      </c>
    </row>
    <row r="270" spans="1:13" x14ac:dyDescent="0.2">
      <c r="A270" t="s">
        <v>102</v>
      </c>
      <c r="B270" t="s">
        <v>24</v>
      </c>
      <c r="C270" t="s">
        <v>8</v>
      </c>
      <c r="E270">
        <v>0</v>
      </c>
      <c r="F270" t="s">
        <v>26</v>
      </c>
      <c r="J270">
        <f>SUMIFS(D242:D265,B242:B265,"Deposit",C242:C265,"IRA")</f>
        <v>0</v>
      </c>
      <c r="L270">
        <f>SUMIFS(D242:D265,B242:B265,"Withdraw",C242:C265,"IRA")</f>
        <v>0</v>
      </c>
      <c r="M270">
        <f>M230+J270-K270-L270</f>
        <v>0</v>
      </c>
    </row>
    <row r="271" spans="1:13" x14ac:dyDescent="0.2">
      <c r="A271" t="s">
        <v>102</v>
      </c>
      <c r="B271" t="s">
        <v>24</v>
      </c>
      <c r="C271" t="s">
        <v>30</v>
      </c>
      <c r="E271">
        <v>72000</v>
      </c>
      <c r="F271" t="s">
        <v>26</v>
      </c>
      <c r="J271">
        <f>SUMIFS(D242:D265,B242:B265,"Deposit",C242:C265,"IRA2")</f>
        <v>0</v>
      </c>
      <c r="L271">
        <f>SUMIFS(D242:D265,B242:B265,"Withdraw",C242:C265,"IRA2")</f>
        <v>24000</v>
      </c>
      <c r="M271">
        <f>M231+J271-K271-L271</f>
        <v>72000</v>
      </c>
    </row>
    <row r="272" spans="1:13" x14ac:dyDescent="0.2">
      <c r="A272" t="s">
        <v>102</v>
      </c>
      <c r="B272" t="s">
        <v>24</v>
      </c>
      <c r="C272" t="s">
        <v>11</v>
      </c>
      <c r="E272">
        <v>130000</v>
      </c>
      <c r="F272" t="s">
        <v>26</v>
      </c>
      <c r="J272">
        <f>SUMIFS(D242:D265,B242:B265,"Deposit",C242:C265,"Roth")</f>
        <v>0</v>
      </c>
      <c r="L272">
        <f>SUMIFS(D242:D265,B242:B265,"Withdraw",C242:C265,"Roth")</f>
        <v>0</v>
      </c>
      <c r="M272">
        <f>M232+J272-K272-L272</f>
        <v>130000</v>
      </c>
    </row>
    <row r="273" spans="1:15" x14ac:dyDescent="0.2">
      <c r="A273" t="s">
        <v>102</v>
      </c>
      <c r="B273" t="s">
        <v>24</v>
      </c>
      <c r="C273" t="s">
        <v>31</v>
      </c>
      <c r="E273">
        <v>58000</v>
      </c>
      <c r="F273" t="s">
        <v>26</v>
      </c>
      <c r="J273">
        <f>SUMIFS(D242:D265,B242:B265,"Deposit",C242:C265,"Roth2")</f>
        <v>24000</v>
      </c>
      <c r="L273">
        <f>SUMIFS(D242:D265,B242:B265,"Withdraw",C242:C265,"Roth2")</f>
        <v>0</v>
      </c>
      <c r="M273">
        <f>M233+J273-K273-L273</f>
        <v>58000</v>
      </c>
    </row>
    <row r="274" spans="1:15" x14ac:dyDescent="0.2">
      <c r="A274" t="s">
        <v>102</v>
      </c>
      <c r="B274" t="s">
        <v>32</v>
      </c>
      <c r="C274" t="s">
        <v>33</v>
      </c>
      <c r="E274">
        <v>0</v>
      </c>
      <c r="F274" t="s">
        <v>34</v>
      </c>
      <c r="J274">
        <f>SUMIFS(D242:D265,C242:C265,"Savings",B242:B265,"Deposit",F242:F265,"=*income*")</f>
        <v>0</v>
      </c>
      <c r="K274">
        <f>J274*6.2%</f>
        <v>0</v>
      </c>
    </row>
    <row r="275" spans="1:15" x14ac:dyDescent="0.2">
      <c r="A275" t="s">
        <v>102</v>
      </c>
      <c r="B275" t="s">
        <v>32</v>
      </c>
      <c r="C275" t="s">
        <v>35</v>
      </c>
      <c r="E275">
        <v>0</v>
      </c>
      <c r="F275" t="s">
        <v>36</v>
      </c>
      <c r="J275">
        <f>J274</f>
        <v>0</v>
      </c>
      <c r="K275">
        <f>J275*1.45%</f>
        <v>0</v>
      </c>
    </row>
    <row r="276" spans="1:15" x14ac:dyDescent="0.2">
      <c r="A276" t="s">
        <v>102</v>
      </c>
      <c r="B276" t="s">
        <v>32</v>
      </c>
      <c r="C276" t="s">
        <v>37</v>
      </c>
      <c r="E276">
        <v>0</v>
      </c>
      <c r="F276" t="s">
        <v>38</v>
      </c>
    </row>
    <row r="277" spans="1:15" x14ac:dyDescent="0.2">
      <c r="A277" t="s">
        <v>102</v>
      </c>
      <c r="B277" t="s">
        <v>32</v>
      </c>
      <c r="C277" t="s">
        <v>39</v>
      </c>
      <c r="E277">
        <v>0</v>
      </c>
      <c r="F277" t="s">
        <v>40</v>
      </c>
    </row>
    <row r="278" spans="1:15" x14ac:dyDescent="0.2">
      <c r="A278" t="s">
        <v>102</v>
      </c>
      <c r="B278" t="s">
        <v>32</v>
      </c>
      <c r="C278" t="s">
        <v>41</v>
      </c>
      <c r="E278">
        <v>24000</v>
      </c>
      <c r="F278" t="s">
        <v>42</v>
      </c>
      <c r="J278">
        <f>J274</f>
        <v>0</v>
      </c>
      <c r="K278">
        <v>0</v>
      </c>
      <c r="L278">
        <f>SUM(L268:L269)/2</f>
        <v>0</v>
      </c>
      <c r="M278">
        <f>SUM(L270:L271)</f>
        <v>24000</v>
      </c>
      <c r="O278">
        <f>SUM(J278:N278)</f>
        <v>24000</v>
      </c>
    </row>
    <row r="279" spans="1:15" x14ac:dyDescent="0.2">
      <c r="A279" t="s">
        <v>102</v>
      </c>
      <c r="B279" t="s">
        <v>32</v>
      </c>
      <c r="C279" t="s">
        <v>43</v>
      </c>
      <c r="E279">
        <v>0</v>
      </c>
      <c r="F279" t="s">
        <v>44</v>
      </c>
    </row>
    <row r="280" spans="1:15" x14ac:dyDescent="0.2">
      <c r="A280" t="s">
        <v>102</v>
      </c>
      <c r="B280" t="s">
        <v>32</v>
      </c>
      <c r="C280" t="s">
        <v>45</v>
      </c>
      <c r="E280">
        <v>0</v>
      </c>
      <c r="F280" t="s">
        <v>46</v>
      </c>
    </row>
    <row r="281" spans="1:15" x14ac:dyDescent="0.2">
      <c r="A281" t="s">
        <v>102</v>
      </c>
      <c r="B281" t="s">
        <v>32</v>
      </c>
      <c r="C281" t="s">
        <v>47</v>
      </c>
      <c r="E281">
        <v>0</v>
      </c>
      <c r="F281" t="s">
        <v>48</v>
      </c>
    </row>
    <row r="282" spans="1:15" x14ac:dyDescent="0.2">
      <c r="A282" t="s">
        <v>157</v>
      </c>
      <c r="B282" t="s">
        <v>7</v>
      </c>
      <c r="C282" t="s">
        <v>30</v>
      </c>
      <c r="D282">
        <v>2000</v>
      </c>
      <c r="E282">
        <v>70000</v>
      </c>
      <c r="F282" t="s">
        <v>9</v>
      </c>
    </row>
    <row r="283" spans="1:15" x14ac:dyDescent="0.2">
      <c r="A283" t="s">
        <v>157</v>
      </c>
      <c r="B283" t="s">
        <v>10</v>
      </c>
      <c r="C283" t="s">
        <v>31</v>
      </c>
      <c r="D283">
        <v>2000</v>
      </c>
      <c r="E283">
        <v>60000</v>
      </c>
      <c r="F283" t="s">
        <v>9</v>
      </c>
    </row>
    <row r="284" spans="1:15" x14ac:dyDescent="0.2">
      <c r="A284" t="s">
        <v>158</v>
      </c>
      <c r="B284" t="s">
        <v>7</v>
      </c>
      <c r="C284" t="s">
        <v>30</v>
      </c>
      <c r="D284">
        <v>2000</v>
      </c>
      <c r="E284">
        <v>68000</v>
      </c>
      <c r="F284" t="s">
        <v>9</v>
      </c>
    </row>
    <row r="285" spans="1:15" x14ac:dyDescent="0.2">
      <c r="A285" t="s">
        <v>158</v>
      </c>
      <c r="B285" t="s">
        <v>10</v>
      </c>
      <c r="C285" t="s">
        <v>31</v>
      </c>
      <c r="D285">
        <v>2000</v>
      </c>
      <c r="E285">
        <v>62000</v>
      </c>
      <c r="F285" t="s">
        <v>9</v>
      </c>
    </row>
    <row r="286" spans="1:15" x14ac:dyDescent="0.2">
      <c r="A286" t="s">
        <v>159</v>
      </c>
      <c r="B286" t="s">
        <v>7</v>
      </c>
      <c r="C286" t="s">
        <v>30</v>
      </c>
      <c r="D286">
        <v>2000</v>
      </c>
      <c r="E286">
        <v>66000</v>
      </c>
      <c r="F286" t="s">
        <v>9</v>
      </c>
    </row>
    <row r="287" spans="1:15" x14ac:dyDescent="0.2">
      <c r="A287" t="s">
        <v>159</v>
      </c>
      <c r="B287" t="s">
        <v>10</v>
      </c>
      <c r="C287" t="s">
        <v>31</v>
      </c>
      <c r="D287">
        <v>2000</v>
      </c>
      <c r="E287">
        <v>64000</v>
      </c>
      <c r="F287" t="s">
        <v>9</v>
      </c>
    </row>
    <row r="288" spans="1:15" x14ac:dyDescent="0.2">
      <c r="A288" t="s">
        <v>160</v>
      </c>
      <c r="B288" t="s">
        <v>7</v>
      </c>
      <c r="C288" t="s">
        <v>30</v>
      </c>
      <c r="D288">
        <v>2000</v>
      </c>
      <c r="E288">
        <v>64000</v>
      </c>
      <c r="F288" t="s">
        <v>9</v>
      </c>
    </row>
    <row r="289" spans="1:6" x14ac:dyDescent="0.2">
      <c r="A289" t="s">
        <v>160</v>
      </c>
      <c r="B289" t="s">
        <v>10</v>
      </c>
      <c r="C289" t="s">
        <v>31</v>
      </c>
      <c r="D289">
        <v>2000</v>
      </c>
      <c r="E289">
        <v>66000</v>
      </c>
      <c r="F289" t="s">
        <v>9</v>
      </c>
    </row>
    <row r="290" spans="1:6" x14ac:dyDescent="0.2">
      <c r="A290" t="s">
        <v>161</v>
      </c>
      <c r="B290" t="s">
        <v>7</v>
      </c>
      <c r="C290" t="s">
        <v>30</v>
      </c>
      <c r="D290">
        <v>2000</v>
      </c>
      <c r="E290">
        <v>62000</v>
      </c>
      <c r="F290" t="s">
        <v>9</v>
      </c>
    </row>
    <row r="291" spans="1:6" x14ac:dyDescent="0.2">
      <c r="A291" t="s">
        <v>161</v>
      </c>
      <c r="B291" t="s">
        <v>10</v>
      </c>
      <c r="C291" t="s">
        <v>31</v>
      </c>
      <c r="D291">
        <v>2000</v>
      </c>
      <c r="E291">
        <v>68000</v>
      </c>
      <c r="F291" t="s">
        <v>9</v>
      </c>
    </row>
    <row r="292" spans="1:6" x14ac:dyDescent="0.2">
      <c r="A292" t="s">
        <v>162</v>
      </c>
      <c r="B292" t="s">
        <v>7</v>
      </c>
      <c r="C292" t="s">
        <v>30</v>
      </c>
      <c r="D292">
        <v>2000</v>
      </c>
      <c r="E292">
        <v>60000</v>
      </c>
      <c r="F292" t="s">
        <v>9</v>
      </c>
    </row>
    <row r="293" spans="1:6" x14ac:dyDescent="0.2">
      <c r="A293" t="s">
        <v>162</v>
      </c>
      <c r="B293" t="s">
        <v>10</v>
      </c>
      <c r="C293" t="s">
        <v>31</v>
      </c>
      <c r="D293">
        <v>2000</v>
      </c>
      <c r="E293">
        <v>70000</v>
      </c>
      <c r="F293" t="s">
        <v>9</v>
      </c>
    </row>
    <row r="294" spans="1:6" x14ac:dyDescent="0.2">
      <c r="A294" t="s">
        <v>163</v>
      </c>
      <c r="B294" t="s">
        <v>7</v>
      </c>
      <c r="C294" t="s">
        <v>30</v>
      </c>
      <c r="D294">
        <v>2000</v>
      </c>
      <c r="E294">
        <v>58000</v>
      </c>
      <c r="F294" t="s">
        <v>9</v>
      </c>
    </row>
    <row r="295" spans="1:6" x14ac:dyDescent="0.2">
      <c r="A295" t="s">
        <v>163</v>
      </c>
      <c r="B295" t="s">
        <v>10</v>
      </c>
      <c r="C295" t="s">
        <v>31</v>
      </c>
      <c r="D295">
        <v>2000</v>
      </c>
      <c r="E295">
        <v>72000</v>
      </c>
      <c r="F295" t="s">
        <v>9</v>
      </c>
    </row>
    <row r="296" spans="1:6" x14ac:dyDescent="0.2">
      <c r="A296" t="s">
        <v>164</v>
      </c>
      <c r="B296" t="s">
        <v>7</v>
      </c>
      <c r="C296" t="s">
        <v>30</v>
      </c>
      <c r="D296">
        <v>2000</v>
      </c>
      <c r="E296">
        <v>56000</v>
      </c>
      <c r="F296" t="s">
        <v>9</v>
      </c>
    </row>
    <row r="297" spans="1:6" x14ac:dyDescent="0.2">
      <c r="A297" t="s">
        <v>164</v>
      </c>
      <c r="B297" t="s">
        <v>10</v>
      </c>
      <c r="C297" t="s">
        <v>31</v>
      </c>
      <c r="D297">
        <v>2000</v>
      </c>
      <c r="E297">
        <v>74000</v>
      </c>
      <c r="F297" t="s">
        <v>9</v>
      </c>
    </row>
    <row r="298" spans="1:6" x14ac:dyDescent="0.2">
      <c r="A298" t="s">
        <v>165</v>
      </c>
      <c r="B298" t="s">
        <v>7</v>
      </c>
      <c r="C298" t="s">
        <v>30</v>
      </c>
      <c r="D298">
        <v>2000</v>
      </c>
      <c r="E298">
        <v>54000</v>
      </c>
      <c r="F298" t="s">
        <v>9</v>
      </c>
    </row>
    <row r="299" spans="1:6" x14ac:dyDescent="0.2">
      <c r="A299" t="s">
        <v>165</v>
      </c>
      <c r="B299" t="s">
        <v>10</v>
      </c>
      <c r="C299" t="s">
        <v>31</v>
      </c>
      <c r="D299">
        <v>2000</v>
      </c>
      <c r="E299">
        <v>76000</v>
      </c>
      <c r="F299" t="s">
        <v>9</v>
      </c>
    </row>
    <row r="300" spans="1:6" x14ac:dyDescent="0.2">
      <c r="A300" t="s">
        <v>166</v>
      </c>
      <c r="B300" t="s">
        <v>7</v>
      </c>
      <c r="C300" t="s">
        <v>30</v>
      </c>
      <c r="D300">
        <v>2000</v>
      </c>
      <c r="E300">
        <v>52000</v>
      </c>
      <c r="F300" t="s">
        <v>9</v>
      </c>
    </row>
    <row r="301" spans="1:6" x14ac:dyDescent="0.2">
      <c r="A301" t="s">
        <v>166</v>
      </c>
      <c r="B301" t="s">
        <v>10</v>
      </c>
      <c r="C301" t="s">
        <v>31</v>
      </c>
      <c r="D301">
        <v>2000</v>
      </c>
      <c r="E301">
        <v>78000</v>
      </c>
      <c r="F301" t="s">
        <v>9</v>
      </c>
    </row>
    <row r="302" spans="1:6" x14ac:dyDescent="0.2">
      <c r="A302" t="s">
        <v>167</v>
      </c>
      <c r="B302" t="s">
        <v>7</v>
      </c>
      <c r="C302" t="s">
        <v>30</v>
      </c>
      <c r="D302">
        <v>2000</v>
      </c>
      <c r="E302">
        <v>50000</v>
      </c>
      <c r="F302" t="s">
        <v>9</v>
      </c>
    </row>
    <row r="303" spans="1:6" x14ac:dyDescent="0.2">
      <c r="A303" t="s">
        <v>167</v>
      </c>
      <c r="B303" t="s">
        <v>10</v>
      </c>
      <c r="C303" t="s">
        <v>31</v>
      </c>
      <c r="D303">
        <v>2000</v>
      </c>
      <c r="E303">
        <v>80000</v>
      </c>
      <c r="F303" t="s">
        <v>9</v>
      </c>
    </row>
    <row r="304" spans="1:6" x14ac:dyDescent="0.2">
      <c r="A304" t="s">
        <v>168</v>
      </c>
      <c r="B304" t="s">
        <v>7</v>
      </c>
      <c r="C304" t="s">
        <v>30</v>
      </c>
      <c r="D304">
        <v>2000</v>
      </c>
      <c r="E304">
        <v>48000</v>
      </c>
      <c r="F304" t="s">
        <v>9</v>
      </c>
    </row>
    <row r="305" spans="1:15" x14ac:dyDescent="0.2">
      <c r="A305" t="s">
        <v>168</v>
      </c>
      <c r="B305" t="s">
        <v>10</v>
      </c>
      <c r="C305" t="s">
        <v>31</v>
      </c>
      <c r="D305">
        <v>2000</v>
      </c>
      <c r="E305">
        <v>82000</v>
      </c>
      <c r="F305" t="s">
        <v>9</v>
      </c>
    </row>
    <row r="306" spans="1:15" x14ac:dyDescent="0.2">
      <c r="A306" t="s">
        <v>103</v>
      </c>
      <c r="B306" t="s">
        <v>24</v>
      </c>
      <c r="C306" t="s">
        <v>25</v>
      </c>
      <c r="E306">
        <v>120000</v>
      </c>
      <c r="F306" t="s">
        <v>26</v>
      </c>
      <c r="J306">
        <f>SUMIFS(D282:D305,B282:B305,"Deposit",C282:C305,"Savings")</f>
        <v>0</v>
      </c>
      <c r="K306">
        <f>SUMIFS(D282:D305,B282:B305,"Payment",C282:C305,"Savings")</f>
        <v>0</v>
      </c>
      <c r="L306">
        <f>SUMIFS(D282:D305,B282:B305,"Withdraw",C282:C305,"Savings")</f>
        <v>0</v>
      </c>
      <c r="M306">
        <f>M266+J306-K306-L306</f>
        <v>120000</v>
      </c>
    </row>
    <row r="307" spans="1:15" x14ac:dyDescent="0.2">
      <c r="A307" t="s">
        <v>103</v>
      </c>
      <c r="B307" t="s">
        <v>24</v>
      </c>
      <c r="C307" t="s">
        <v>27</v>
      </c>
      <c r="E307">
        <v>120000</v>
      </c>
      <c r="F307" t="s">
        <v>26</v>
      </c>
      <c r="J307">
        <f>SUMIFS(D282:D305,B282:B305,"Deposit",C282:C305,"Savings2")</f>
        <v>0</v>
      </c>
      <c r="L307">
        <f>SUMIFS(D282:D305,B282:B305,"Withdraw",C282:C305,"Savings2")</f>
        <v>0</v>
      </c>
      <c r="M307">
        <f>M267+J307-K307-L307</f>
        <v>120000</v>
      </c>
    </row>
    <row r="308" spans="1:15" x14ac:dyDescent="0.2">
      <c r="A308" t="s">
        <v>103</v>
      </c>
      <c r="B308" t="s">
        <v>24</v>
      </c>
      <c r="C308" t="s">
        <v>28</v>
      </c>
      <c r="E308">
        <v>120000</v>
      </c>
      <c r="F308" t="s">
        <v>26</v>
      </c>
      <c r="J308">
        <f>SUMIFS(D282:D305,B282:B305,"Deposit",C282:C305,"Brokerage")</f>
        <v>0</v>
      </c>
      <c r="L308">
        <f>SUMIFS(D282:D305,B282:B305,"Withdraw",C282:C305,"Brokerage")</f>
        <v>0</v>
      </c>
      <c r="M308">
        <f>M268+J308-K308-L308</f>
        <v>120000</v>
      </c>
    </row>
    <row r="309" spans="1:15" x14ac:dyDescent="0.2">
      <c r="A309" t="s">
        <v>103</v>
      </c>
      <c r="B309" t="s">
        <v>24</v>
      </c>
      <c r="C309" t="s">
        <v>29</v>
      </c>
      <c r="E309">
        <v>120000</v>
      </c>
      <c r="F309" t="s">
        <v>26</v>
      </c>
      <c r="J309">
        <f>SUMIFS(D282:D305,B282:B305,"Deposit",C282:C305,"Brokerage2")</f>
        <v>0</v>
      </c>
      <c r="L309">
        <f>SUMIFS(D282:D305,B282:B305,"Withdraw",C282:C305,"Brokerage2")</f>
        <v>0</v>
      </c>
      <c r="M309">
        <f>M269+J309-K309-L309</f>
        <v>120000</v>
      </c>
    </row>
    <row r="310" spans="1:15" x14ac:dyDescent="0.2">
      <c r="A310" t="s">
        <v>103</v>
      </c>
      <c r="B310" t="s">
        <v>24</v>
      </c>
      <c r="C310" t="s">
        <v>8</v>
      </c>
      <c r="E310">
        <v>0</v>
      </c>
      <c r="F310" t="s">
        <v>26</v>
      </c>
      <c r="J310">
        <f>SUMIFS(D282:D305,B282:B305,"Deposit",C282:C305,"IRA")</f>
        <v>0</v>
      </c>
      <c r="L310">
        <f>SUMIFS(D282:D305,B282:B305,"Withdraw",C282:C305,"IRA")</f>
        <v>0</v>
      </c>
      <c r="M310">
        <f>M270+J310-K310-L310</f>
        <v>0</v>
      </c>
    </row>
    <row r="311" spans="1:15" x14ac:dyDescent="0.2">
      <c r="A311" t="s">
        <v>103</v>
      </c>
      <c r="B311" t="s">
        <v>24</v>
      </c>
      <c r="C311" t="s">
        <v>30</v>
      </c>
      <c r="E311">
        <v>48000</v>
      </c>
      <c r="F311" t="s">
        <v>26</v>
      </c>
      <c r="J311">
        <f>SUMIFS(D282:D305,B282:B305,"Deposit",C282:C305,"IRA2")</f>
        <v>0</v>
      </c>
      <c r="L311">
        <f>SUMIFS(D282:D305,B282:B305,"Withdraw",C282:C305,"IRA2")</f>
        <v>24000</v>
      </c>
      <c r="M311">
        <f>M271+J311-K311-L311</f>
        <v>48000</v>
      </c>
    </row>
    <row r="312" spans="1:15" x14ac:dyDescent="0.2">
      <c r="A312" t="s">
        <v>103</v>
      </c>
      <c r="B312" t="s">
        <v>24</v>
      </c>
      <c r="C312" t="s">
        <v>11</v>
      </c>
      <c r="E312">
        <v>130000</v>
      </c>
      <c r="F312" t="s">
        <v>26</v>
      </c>
      <c r="J312">
        <f>SUMIFS(D282:D305,B282:B305,"Deposit",C282:C305,"Roth")</f>
        <v>0</v>
      </c>
      <c r="L312">
        <f>SUMIFS(D282:D305,B282:B305,"Withdraw",C282:C305,"Roth")</f>
        <v>0</v>
      </c>
      <c r="M312">
        <f>M272+J312-K312-L312</f>
        <v>130000</v>
      </c>
    </row>
    <row r="313" spans="1:15" x14ac:dyDescent="0.2">
      <c r="A313" t="s">
        <v>103</v>
      </c>
      <c r="B313" t="s">
        <v>24</v>
      </c>
      <c r="C313" t="s">
        <v>31</v>
      </c>
      <c r="E313">
        <v>82000</v>
      </c>
      <c r="F313" t="s">
        <v>26</v>
      </c>
      <c r="J313">
        <f>SUMIFS(D282:D305,B282:B305,"Deposit",C282:C305,"Roth2")</f>
        <v>24000</v>
      </c>
      <c r="L313">
        <f>SUMIFS(D282:D305,B282:B305,"Withdraw",C282:C305,"Roth2")</f>
        <v>0</v>
      </c>
      <c r="M313">
        <f>M273+J313-K313-L313</f>
        <v>82000</v>
      </c>
    </row>
    <row r="314" spans="1:15" x14ac:dyDescent="0.2">
      <c r="A314" t="s">
        <v>103</v>
      </c>
      <c r="B314" t="s">
        <v>32</v>
      </c>
      <c r="C314" t="s">
        <v>33</v>
      </c>
      <c r="E314">
        <v>0</v>
      </c>
      <c r="F314" t="s">
        <v>34</v>
      </c>
      <c r="J314">
        <f>SUMIFS(D282:D305,C282:C305,"Savings",B282:B305,"Deposit",F282:F305,"=*income*")</f>
        <v>0</v>
      </c>
      <c r="K314">
        <f>J314*6.2%</f>
        <v>0</v>
      </c>
    </row>
    <row r="315" spans="1:15" x14ac:dyDescent="0.2">
      <c r="A315" t="s">
        <v>103</v>
      </c>
      <c r="B315" t="s">
        <v>32</v>
      </c>
      <c r="C315" t="s">
        <v>35</v>
      </c>
      <c r="E315">
        <v>0</v>
      </c>
      <c r="F315" t="s">
        <v>36</v>
      </c>
      <c r="J315">
        <f>J314</f>
        <v>0</v>
      </c>
      <c r="K315">
        <f>J315*1.45%</f>
        <v>0</v>
      </c>
    </row>
    <row r="316" spans="1:15" x14ac:dyDescent="0.2">
      <c r="A316" t="s">
        <v>103</v>
      </c>
      <c r="B316" t="s">
        <v>32</v>
      </c>
      <c r="C316" t="s">
        <v>37</v>
      </c>
      <c r="E316">
        <v>0</v>
      </c>
      <c r="F316" t="s">
        <v>38</v>
      </c>
    </row>
    <row r="317" spans="1:15" x14ac:dyDescent="0.2">
      <c r="A317" t="s">
        <v>103</v>
      </c>
      <c r="B317" t="s">
        <v>32</v>
      </c>
      <c r="C317" t="s">
        <v>39</v>
      </c>
      <c r="E317">
        <v>0</v>
      </c>
      <c r="F317" t="s">
        <v>40</v>
      </c>
    </row>
    <row r="318" spans="1:15" x14ac:dyDescent="0.2">
      <c r="A318" t="s">
        <v>103</v>
      </c>
      <c r="B318" t="s">
        <v>32</v>
      </c>
      <c r="C318" t="s">
        <v>41</v>
      </c>
      <c r="E318">
        <v>24000</v>
      </c>
      <c r="F318" t="s">
        <v>42</v>
      </c>
      <c r="J318">
        <f>J314</f>
        <v>0</v>
      </c>
      <c r="K318">
        <v>0</v>
      </c>
      <c r="L318">
        <f>SUM(L308:L309)/2</f>
        <v>0</v>
      </c>
      <c r="M318">
        <f>SUM(L310:L311)</f>
        <v>24000</v>
      </c>
      <c r="O318">
        <f>SUM(J318:N318)</f>
        <v>24000</v>
      </c>
    </row>
    <row r="319" spans="1:15" x14ac:dyDescent="0.2">
      <c r="A319" t="s">
        <v>103</v>
      </c>
      <c r="B319" t="s">
        <v>32</v>
      </c>
      <c r="C319" t="s">
        <v>43</v>
      </c>
      <c r="E319">
        <v>0</v>
      </c>
      <c r="F319" t="s">
        <v>44</v>
      </c>
    </row>
    <row r="320" spans="1:15" x14ac:dyDescent="0.2">
      <c r="A320" t="s">
        <v>103</v>
      </c>
      <c r="B320" t="s">
        <v>32</v>
      </c>
      <c r="C320" t="s">
        <v>45</v>
      </c>
      <c r="E320">
        <v>0</v>
      </c>
      <c r="F320" t="s">
        <v>46</v>
      </c>
    </row>
    <row r="321" spans="1:6" x14ac:dyDescent="0.2">
      <c r="A321" t="s">
        <v>103</v>
      </c>
      <c r="B321" t="s">
        <v>32</v>
      </c>
      <c r="C321" t="s">
        <v>47</v>
      </c>
      <c r="E321">
        <v>0</v>
      </c>
      <c r="F321" t="s">
        <v>48</v>
      </c>
    </row>
    <row r="322" spans="1:6" x14ac:dyDescent="0.2">
      <c r="A322" t="s">
        <v>169</v>
      </c>
      <c r="B322" t="s">
        <v>7</v>
      </c>
      <c r="C322" t="s">
        <v>30</v>
      </c>
      <c r="D322">
        <v>2000</v>
      </c>
      <c r="E322">
        <v>46000</v>
      </c>
      <c r="F322" t="s">
        <v>9</v>
      </c>
    </row>
    <row r="323" spans="1:6" x14ac:dyDescent="0.2">
      <c r="A323" t="s">
        <v>169</v>
      </c>
      <c r="B323" t="s">
        <v>10</v>
      </c>
      <c r="C323" t="s">
        <v>31</v>
      </c>
      <c r="D323">
        <v>2000</v>
      </c>
      <c r="E323">
        <v>84000</v>
      </c>
      <c r="F323" t="s">
        <v>9</v>
      </c>
    </row>
    <row r="324" spans="1:6" x14ac:dyDescent="0.2">
      <c r="A324" t="s">
        <v>170</v>
      </c>
      <c r="B324" t="s">
        <v>7</v>
      </c>
      <c r="C324" t="s">
        <v>30</v>
      </c>
      <c r="D324">
        <v>2000</v>
      </c>
      <c r="E324">
        <v>44000</v>
      </c>
      <c r="F324" t="s">
        <v>9</v>
      </c>
    </row>
    <row r="325" spans="1:6" x14ac:dyDescent="0.2">
      <c r="A325" t="s">
        <v>170</v>
      </c>
      <c r="B325" t="s">
        <v>10</v>
      </c>
      <c r="C325" t="s">
        <v>31</v>
      </c>
      <c r="D325">
        <v>2000</v>
      </c>
      <c r="E325">
        <v>86000</v>
      </c>
      <c r="F325" t="s">
        <v>9</v>
      </c>
    </row>
    <row r="326" spans="1:6" x14ac:dyDescent="0.2">
      <c r="A326" t="s">
        <v>171</v>
      </c>
      <c r="B326" t="s">
        <v>7</v>
      </c>
      <c r="C326" t="s">
        <v>30</v>
      </c>
      <c r="D326">
        <v>2000</v>
      </c>
      <c r="E326">
        <v>42000</v>
      </c>
      <c r="F326" t="s">
        <v>9</v>
      </c>
    </row>
    <row r="327" spans="1:6" x14ac:dyDescent="0.2">
      <c r="A327" t="s">
        <v>171</v>
      </c>
      <c r="B327" t="s">
        <v>10</v>
      </c>
      <c r="C327" t="s">
        <v>31</v>
      </c>
      <c r="D327">
        <v>2000</v>
      </c>
      <c r="E327">
        <v>88000</v>
      </c>
      <c r="F327" t="s">
        <v>9</v>
      </c>
    </row>
    <row r="328" spans="1:6" x14ac:dyDescent="0.2">
      <c r="A328" t="s">
        <v>172</v>
      </c>
      <c r="B328" t="s">
        <v>7</v>
      </c>
      <c r="C328" t="s">
        <v>30</v>
      </c>
      <c r="D328">
        <v>2000</v>
      </c>
      <c r="E328">
        <v>40000</v>
      </c>
      <c r="F328" t="s">
        <v>9</v>
      </c>
    </row>
    <row r="329" spans="1:6" x14ac:dyDescent="0.2">
      <c r="A329" t="s">
        <v>172</v>
      </c>
      <c r="B329" t="s">
        <v>10</v>
      </c>
      <c r="C329" t="s">
        <v>31</v>
      </c>
      <c r="D329">
        <v>2000</v>
      </c>
      <c r="E329">
        <v>90000</v>
      </c>
      <c r="F329" t="s">
        <v>9</v>
      </c>
    </row>
    <row r="330" spans="1:6" x14ac:dyDescent="0.2">
      <c r="A330" t="s">
        <v>173</v>
      </c>
      <c r="B330" t="s">
        <v>7</v>
      </c>
      <c r="C330" t="s">
        <v>30</v>
      </c>
      <c r="D330">
        <v>2000</v>
      </c>
      <c r="E330">
        <v>38000</v>
      </c>
      <c r="F330" t="s">
        <v>9</v>
      </c>
    </row>
    <row r="331" spans="1:6" x14ac:dyDescent="0.2">
      <c r="A331" t="s">
        <v>173</v>
      </c>
      <c r="B331" t="s">
        <v>10</v>
      </c>
      <c r="C331" t="s">
        <v>31</v>
      </c>
      <c r="D331">
        <v>2000</v>
      </c>
      <c r="E331">
        <v>92000</v>
      </c>
      <c r="F331" t="s">
        <v>9</v>
      </c>
    </row>
    <row r="332" spans="1:6" x14ac:dyDescent="0.2">
      <c r="A332" t="s">
        <v>174</v>
      </c>
      <c r="B332" t="s">
        <v>7</v>
      </c>
      <c r="C332" t="s">
        <v>30</v>
      </c>
      <c r="D332">
        <v>2000</v>
      </c>
      <c r="E332">
        <v>36000</v>
      </c>
      <c r="F332" t="s">
        <v>9</v>
      </c>
    </row>
    <row r="333" spans="1:6" x14ac:dyDescent="0.2">
      <c r="A333" t="s">
        <v>174</v>
      </c>
      <c r="B333" t="s">
        <v>10</v>
      </c>
      <c r="C333" t="s">
        <v>31</v>
      </c>
      <c r="D333">
        <v>2000</v>
      </c>
      <c r="E333">
        <v>94000</v>
      </c>
      <c r="F333" t="s">
        <v>9</v>
      </c>
    </row>
    <row r="334" spans="1:6" x14ac:dyDescent="0.2">
      <c r="A334" t="s">
        <v>175</v>
      </c>
      <c r="B334" t="s">
        <v>7</v>
      </c>
      <c r="C334" t="s">
        <v>30</v>
      </c>
      <c r="D334">
        <v>2000</v>
      </c>
      <c r="E334">
        <v>34000</v>
      </c>
      <c r="F334" t="s">
        <v>9</v>
      </c>
    </row>
    <row r="335" spans="1:6" x14ac:dyDescent="0.2">
      <c r="A335" t="s">
        <v>175</v>
      </c>
      <c r="B335" t="s">
        <v>10</v>
      </c>
      <c r="C335" t="s">
        <v>31</v>
      </c>
      <c r="D335">
        <v>2000</v>
      </c>
      <c r="E335">
        <v>96000</v>
      </c>
      <c r="F335" t="s">
        <v>9</v>
      </c>
    </row>
    <row r="336" spans="1:6" x14ac:dyDescent="0.2">
      <c r="A336" t="s">
        <v>176</v>
      </c>
      <c r="B336" t="s">
        <v>7</v>
      </c>
      <c r="C336" t="s">
        <v>30</v>
      </c>
      <c r="D336">
        <v>2000</v>
      </c>
      <c r="E336">
        <v>32000</v>
      </c>
      <c r="F336" t="s">
        <v>9</v>
      </c>
    </row>
    <row r="337" spans="1:13" x14ac:dyDescent="0.2">
      <c r="A337" t="s">
        <v>176</v>
      </c>
      <c r="B337" t="s">
        <v>10</v>
      </c>
      <c r="C337" t="s">
        <v>31</v>
      </c>
      <c r="D337">
        <v>2000</v>
      </c>
      <c r="E337">
        <v>98000</v>
      </c>
      <c r="F337" t="s">
        <v>9</v>
      </c>
    </row>
    <row r="338" spans="1:13" x14ac:dyDescent="0.2">
      <c r="A338" t="s">
        <v>177</v>
      </c>
      <c r="B338" t="s">
        <v>7</v>
      </c>
      <c r="C338" t="s">
        <v>30</v>
      </c>
      <c r="D338">
        <v>2000</v>
      </c>
      <c r="E338">
        <v>30000</v>
      </c>
      <c r="F338" t="s">
        <v>9</v>
      </c>
    </row>
    <row r="339" spans="1:13" x14ac:dyDescent="0.2">
      <c r="A339" t="s">
        <v>177</v>
      </c>
      <c r="B339" t="s">
        <v>10</v>
      </c>
      <c r="C339" t="s">
        <v>31</v>
      </c>
      <c r="D339">
        <v>2000</v>
      </c>
      <c r="E339">
        <v>100000</v>
      </c>
      <c r="F339" t="s">
        <v>9</v>
      </c>
    </row>
    <row r="340" spans="1:13" x14ac:dyDescent="0.2">
      <c r="A340" t="s">
        <v>178</v>
      </c>
      <c r="B340" t="s">
        <v>7</v>
      </c>
      <c r="C340" t="s">
        <v>30</v>
      </c>
      <c r="D340">
        <v>2000</v>
      </c>
      <c r="E340">
        <v>28000</v>
      </c>
      <c r="F340" t="s">
        <v>9</v>
      </c>
    </row>
    <row r="341" spans="1:13" x14ac:dyDescent="0.2">
      <c r="A341" t="s">
        <v>178</v>
      </c>
      <c r="B341" t="s">
        <v>10</v>
      </c>
      <c r="C341" t="s">
        <v>31</v>
      </c>
      <c r="D341">
        <v>2000</v>
      </c>
      <c r="E341">
        <v>102000</v>
      </c>
      <c r="F341" t="s">
        <v>9</v>
      </c>
    </row>
    <row r="342" spans="1:13" x14ac:dyDescent="0.2">
      <c r="A342" t="s">
        <v>179</v>
      </c>
      <c r="B342" t="s">
        <v>7</v>
      </c>
      <c r="C342" t="s">
        <v>30</v>
      </c>
      <c r="D342">
        <v>2000</v>
      </c>
      <c r="E342">
        <v>26000</v>
      </c>
      <c r="F342" t="s">
        <v>9</v>
      </c>
    </row>
    <row r="343" spans="1:13" x14ac:dyDescent="0.2">
      <c r="A343" t="s">
        <v>179</v>
      </c>
      <c r="B343" t="s">
        <v>10</v>
      </c>
      <c r="C343" t="s">
        <v>31</v>
      </c>
      <c r="D343">
        <v>2000</v>
      </c>
      <c r="E343">
        <v>104000</v>
      </c>
      <c r="F343" t="s">
        <v>9</v>
      </c>
    </row>
    <row r="344" spans="1:13" x14ac:dyDescent="0.2">
      <c r="A344" t="s">
        <v>180</v>
      </c>
      <c r="B344" t="s">
        <v>7</v>
      </c>
      <c r="C344" t="s">
        <v>30</v>
      </c>
      <c r="D344">
        <v>2000</v>
      </c>
      <c r="E344">
        <v>24000</v>
      </c>
      <c r="F344" t="s">
        <v>9</v>
      </c>
    </row>
    <row r="345" spans="1:13" x14ac:dyDescent="0.2">
      <c r="A345" t="s">
        <v>180</v>
      </c>
      <c r="B345" t="s">
        <v>10</v>
      </c>
      <c r="C345" t="s">
        <v>31</v>
      </c>
      <c r="D345">
        <v>2000</v>
      </c>
      <c r="E345">
        <v>106000</v>
      </c>
      <c r="F345" t="s">
        <v>9</v>
      </c>
    </row>
    <row r="346" spans="1:13" x14ac:dyDescent="0.2">
      <c r="A346" t="s">
        <v>104</v>
      </c>
      <c r="B346" t="s">
        <v>24</v>
      </c>
      <c r="C346" t="s">
        <v>25</v>
      </c>
      <c r="E346">
        <v>120000</v>
      </c>
      <c r="F346" t="s">
        <v>26</v>
      </c>
      <c r="J346">
        <f>SUMIFS(D322:D345,B322:B345,"Deposit",C322:C345,"Savings")</f>
        <v>0</v>
      </c>
      <c r="K346">
        <f>SUMIFS(D322:D345,B322:B345,"Payment",C322:C345,"Savings")</f>
        <v>0</v>
      </c>
      <c r="L346">
        <f>SUMIFS(D322:D345,B322:B345,"Withdraw",C322:C345,"Savings")</f>
        <v>0</v>
      </c>
      <c r="M346">
        <f>M306+J346-K346-L346</f>
        <v>120000</v>
      </c>
    </row>
    <row r="347" spans="1:13" x14ac:dyDescent="0.2">
      <c r="A347" t="s">
        <v>104</v>
      </c>
      <c r="B347" t="s">
        <v>24</v>
      </c>
      <c r="C347" t="s">
        <v>27</v>
      </c>
      <c r="E347">
        <v>120000</v>
      </c>
      <c r="F347" t="s">
        <v>26</v>
      </c>
      <c r="J347">
        <f>SUMIFS(D322:D345,B322:B345,"Deposit",C322:C345,"Savings2")</f>
        <v>0</v>
      </c>
      <c r="L347">
        <f>SUMIFS(D322:D345,B322:B345,"Withdraw",C322:C345,"Savings2")</f>
        <v>0</v>
      </c>
      <c r="M347">
        <f>M307+J347-K347-L347</f>
        <v>120000</v>
      </c>
    </row>
    <row r="348" spans="1:13" x14ac:dyDescent="0.2">
      <c r="A348" t="s">
        <v>104</v>
      </c>
      <c r="B348" t="s">
        <v>24</v>
      </c>
      <c r="C348" t="s">
        <v>28</v>
      </c>
      <c r="E348">
        <v>120000</v>
      </c>
      <c r="F348" t="s">
        <v>26</v>
      </c>
      <c r="J348">
        <f>SUMIFS(D322:D345,B322:B345,"Deposit",C322:C345,"Brokerage")</f>
        <v>0</v>
      </c>
      <c r="L348">
        <f>SUMIFS(D322:D345,B322:B345,"Withdraw",C322:C345,"Brokerage")</f>
        <v>0</v>
      </c>
      <c r="M348">
        <f>M308+J348-K348-L348</f>
        <v>120000</v>
      </c>
    </row>
    <row r="349" spans="1:13" x14ac:dyDescent="0.2">
      <c r="A349" t="s">
        <v>104</v>
      </c>
      <c r="B349" t="s">
        <v>24</v>
      </c>
      <c r="C349" t="s">
        <v>29</v>
      </c>
      <c r="E349">
        <v>120000</v>
      </c>
      <c r="F349" t="s">
        <v>26</v>
      </c>
      <c r="J349">
        <f>SUMIFS(D322:D345,B322:B345,"Deposit",C322:C345,"Brokerage2")</f>
        <v>0</v>
      </c>
      <c r="L349">
        <f>SUMIFS(D322:D345,B322:B345,"Withdraw",C322:C345,"Brokerage2")</f>
        <v>0</v>
      </c>
      <c r="M349">
        <f>M309+J349-K349-L349</f>
        <v>120000</v>
      </c>
    </row>
    <row r="350" spans="1:13" x14ac:dyDescent="0.2">
      <c r="A350" t="s">
        <v>104</v>
      </c>
      <c r="B350" t="s">
        <v>24</v>
      </c>
      <c r="C350" t="s">
        <v>8</v>
      </c>
      <c r="E350">
        <v>0</v>
      </c>
      <c r="F350" t="s">
        <v>26</v>
      </c>
      <c r="J350">
        <f>SUMIFS(D322:D345,B322:B345,"Deposit",C322:C345,"IRA")</f>
        <v>0</v>
      </c>
      <c r="L350">
        <f>SUMIFS(D322:D345,B322:B345,"Withdraw",C322:C345,"IRA")</f>
        <v>0</v>
      </c>
      <c r="M350">
        <f>M310+J350-K350-L350</f>
        <v>0</v>
      </c>
    </row>
    <row r="351" spans="1:13" x14ac:dyDescent="0.2">
      <c r="A351" t="s">
        <v>104</v>
      </c>
      <c r="B351" t="s">
        <v>24</v>
      </c>
      <c r="C351" t="s">
        <v>30</v>
      </c>
      <c r="E351">
        <v>24000</v>
      </c>
      <c r="F351" t="s">
        <v>26</v>
      </c>
      <c r="J351">
        <f>SUMIFS(D322:D345,B322:B345,"Deposit",C322:C345,"IRA2")</f>
        <v>0</v>
      </c>
      <c r="L351">
        <f>SUMIFS(D322:D345,B322:B345,"Withdraw",C322:C345,"IRA2")</f>
        <v>24000</v>
      </c>
      <c r="M351">
        <f>M311+J351-K351-L351</f>
        <v>24000</v>
      </c>
    </row>
    <row r="352" spans="1:13" x14ac:dyDescent="0.2">
      <c r="A352" t="s">
        <v>104</v>
      </c>
      <c r="B352" t="s">
        <v>24</v>
      </c>
      <c r="C352" t="s">
        <v>11</v>
      </c>
      <c r="E352">
        <v>130000</v>
      </c>
      <c r="F352" t="s">
        <v>26</v>
      </c>
      <c r="J352">
        <f>SUMIFS(D322:D345,B322:B345,"Deposit",C322:C345,"Roth")</f>
        <v>0</v>
      </c>
      <c r="L352">
        <f>SUMIFS(D322:D345,B322:B345,"Withdraw",C322:C345,"Roth")</f>
        <v>0</v>
      </c>
      <c r="M352">
        <f>M312+J352-K352-L352</f>
        <v>130000</v>
      </c>
    </row>
    <row r="353" spans="1:15" x14ac:dyDescent="0.2">
      <c r="A353" t="s">
        <v>104</v>
      </c>
      <c r="B353" t="s">
        <v>24</v>
      </c>
      <c r="C353" t="s">
        <v>31</v>
      </c>
      <c r="E353">
        <v>106000</v>
      </c>
      <c r="F353" t="s">
        <v>26</v>
      </c>
      <c r="J353">
        <f>SUMIFS(D322:D345,B322:B345,"Deposit",C322:C345,"Roth2")</f>
        <v>24000</v>
      </c>
      <c r="L353">
        <f>SUMIFS(D322:D345,B322:B345,"Withdraw",C322:C345,"Roth2")</f>
        <v>0</v>
      </c>
      <c r="M353">
        <f>M313+J353-K353-L353</f>
        <v>106000</v>
      </c>
    </row>
    <row r="354" spans="1:15" x14ac:dyDescent="0.2">
      <c r="A354" t="s">
        <v>104</v>
      </c>
      <c r="B354" t="s">
        <v>32</v>
      </c>
      <c r="C354" t="s">
        <v>33</v>
      </c>
      <c r="E354">
        <v>0</v>
      </c>
      <c r="F354" t="s">
        <v>34</v>
      </c>
      <c r="J354">
        <f>SUMIFS(D322:D345,C322:C345,"Savings",B322:B345,"Deposit",F322:F345,"=*income*")</f>
        <v>0</v>
      </c>
      <c r="K354">
        <f>J354*6.2%</f>
        <v>0</v>
      </c>
    </row>
    <row r="355" spans="1:15" x14ac:dyDescent="0.2">
      <c r="A355" t="s">
        <v>104</v>
      </c>
      <c r="B355" t="s">
        <v>32</v>
      </c>
      <c r="C355" t="s">
        <v>35</v>
      </c>
      <c r="E355">
        <v>0</v>
      </c>
      <c r="F355" t="s">
        <v>36</v>
      </c>
      <c r="J355">
        <f>J354</f>
        <v>0</v>
      </c>
      <c r="K355">
        <f>J355*1.45%</f>
        <v>0</v>
      </c>
    </row>
    <row r="356" spans="1:15" x14ac:dyDescent="0.2">
      <c r="A356" t="s">
        <v>104</v>
      </c>
      <c r="B356" t="s">
        <v>32</v>
      </c>
      <c r="C356" t="s">
        <v>37</v>
      </c>
      <c r="E356">
        <v>0</v>
      </c>
      <c r="F356" t="s">
        <v>38</v>
      </c>
    </row>
    <row r="357" spans="1:15" x14ac:dyDescent="0.2">
      <c r="A357" t="s">
        <v>104</v>
      </c>
      <c r="B357" t="s">
        <v>32</v>
      </c>
      <c r="C357" t="s">
        <v>39</v>
      </c>
      <c r="E357">
        <v>0</v>
      </c>
      <c r="F357" t="s">
        <v>40</v>
      </c>
    </row>
    <row r="358" spans="1:15" x14ac:dyDescent="0.2">
      <c r="A358" t="s">
        <v>104</v>
      </c>
      <c r="B358" t="s">
        <v>32</v>
      </c>
      <c r="C358" t="s">
        <v>41</v>
      </c>
      <c r="E358">
        <v>24000</v>
      </c>
      <c r="F358" t="s">
        <v>42</v>
      </c>
      <c r="J358">
        <f>J354</f>
        <v>0</v>
      </c>
      <c r="K358">
        <v>0</v>
      </c>
      <c r="L358">
        <f>SUM(L348:L349)/2</f>
        <v>0</v>
      </c>
      <c r="M358">
        <f>SUM(L350:L351)</f>
        <v>24000</v>
      </c>
      <c r="O358">
        <f>SUM(J358:N358)</f>
        <v>24000</v>
      </c>
    </row>
    <row r="359" spans="1:15" x14ac:dyDescent="0.2">
      <c r="A359" t="s">
        <v>104</v>
      </c>
      <c r="B359" t="s">
        <v>32</v>
      </c>
      <c r="C359" t="s">
        <v>43</v>
      </c>
      <c r="E359">
        <v>0</v>
      </c>
      <c r="F359" t="s">
        <v>44</v>
      </c>
    </row>
    <row r="360" spans="1:15" x14ac:dyDescent="0.2">
      <c r="A360" t="s">
        <v>104</v>
      </c>
      <c r="B360" t="s">
        <v>32</v>
      </c>
      <c r="C360" t="s">
        <v>45</v>
      </c>
      <c r="E360">
        <v>0</v>
      </c>
      <c r="F360" t="s">
        <v>46</v>
      </c>
    </row>
    <row r="361" spans="1:15" x14ac:dyDescent="0.2">
      <c r="A361" t="s">
        <v>104</v>
      </c>
      <c r="B361" t="s">
        <v>32</v>
      </c>
      <c r="C361" t="s">
        <v>47</v>
      </c>
      <c r="E361">
        <v>0</v>
      </c>
      <c r="F361" t="s">
        <v>48</v>
      </c>
    </row>
    <row r="362" spans="1:15" x14ac:dyDescent="0.2">
      <c r="A362" t="s">
        <v>105</v>
      </c>
      <c r="B362" t="s">
        <v>7</v>
      </c>
      <c r="C362" t="s">
        <v>30</v>
      </c>
      <c r="D362">
        <v>75.47</v>
      </c>
      <c r="E362">
        <v>23924.53</v>
      </c>
      <c r="F362" t="s">
        <v>106</v>
      </c>
    </row>
    <row r="363" spans="1:15" x14ac:dyDescent="0.2">
      <c r="A363" t="s">
        <v>105</v>
      </c>
      <c r="B363" t="s">
        <v>10</v>
      </c>
      <c r="C363" t="s">
        <v>25</v>
      </c>
      <c r="D363">
        <v>75.47</v>
      </c>
      <c r="E363">
        <v>120075.47</v>
      </c>
      <c r="F363" t="s">
        <v>107</v>
      </c>
    </row>
    <row r="364" spans="1:15" x14ac:dyDescent="0.2">
      <c r="A364" t="s">
        <v>105</v>
      </c>
      <c r="B364" t="s">
        <v>7</v>
      </c>
      <c r="C364" t="s">
        <v>30</v>
      </c>
      <c r="D364">
        <v>1921.88</v>
      </c>
      <c r="E364">
        <v>22002.65</v>
      </c>
      <c r="F364" t="s">
        <v>9</v>
      </c>
    </row>
    <row r="365" spans="1:15" x14ac:dyDescent="0.2">
      <c r="A365" t="s">
        <v>105</v>
      </c>
      <c r="B365" t="s">
        <v>10</v>
      </c>
      <c r="C365" t="s">
        <v>31</v>
      </c>
      <c r="D365">
        <v>1921.88</v>
      </c>
      <c r="E365">
        <v>107921.88</v>
      </c>
      <c r="F365" t="s">
        <v>9</v>
      </c>
    </row>
    <row r="366" spans="1:15" x14ac:dyDescent="0.2">
      <c r="A366" t="s">
        <v>108</v>
      </c>
      <c r="B366" t="s">
        <v>7</v>
      </c>
      <c r="C366" t="s">
        <v>30</v>
      </c>
      <c r="D366">
        <v>75.47</v>
      </c>
      <c r="E366">
        <v>21927.18</v>
      </c>
      <c r="F366" t="s">
        <v>106</v>
      </c>
    </row>
    <row r="367" spans="1:15" x14ac:dyDescent="0.2">
      <c r="A367" t="s">
        <v>108</v>
      </c>
      <c r="B367" t="s">
        <v>10</v>
      </c>
      <c r="C367" t="s">
        <v>25</v>
      </c>
      <c r="D367">
        <v>75.47</v>
      </c>
      <c r="E367">
        <v>120150.94</v>
      </c>
      <c r="F367" t="s">
        <v>107</v>
      </c>
    </row>
    <row r="368" spans="1:15" x14ac:dyDescent="0.2">
      <c r="A368" t="s">
        <v>108</v>
      </c>
      <c r="B368" t="s">
        <v>7</v>
      </c>
      <c r="C368" t="s">
        <v>30</v>
      </c>
      <c r="D368">
        <v>1921.87</v>
      </c>
      <c r="E368">
        <v>20005.310000000001</v>
      </c>
      <c r="F368" t="s">
        <v>9</v>
      </c>
    </row>
    <row r="369" spans="1:6" x14ac:dyDescent="0.2">
      <c r="A369" t="s">
        <v>108</v>
      </c>
      <c r="B369" t="s">
        <v>10</v>
      </c>
      <c r="C369" t="s">
        <v>31</v>
      </c>
      <c r="D369">
        <v>1921.87</v>
      </c>
      <c r="E369">
        <v>109843.75</v>
      </c>
      <c r="F369" t="s">
        <v>9</v>
      </c>
    </row>
    <row r="370" spans="1:6" x14ac:dyDescent="0.2">
      <c r="A370" t="s">
        <v>109</v>
      </c>
      <c r="B370" t="s">
        <v>7</v>
      </c>
      <c r="C370" t="s">
        <v>30</v>
      </c>
      <c r="D370">
        <v>75.47</v>
      </c>
      <c r="E370">
        <v>19929.84</v>
      </c>
      <c r="F370" t="s">
        <v>106</v>
      </c>
    </row>
    <row r="371" spans="1:6" x14ac:dyDescent="0.2">
      <c r="A371" t="s">
        <v>109</v>
      </c>
      <c r="B371" t="s">
        <v>10</v>
      </c>
      <c r="C371" t="s">
        <v>25</v>
      </c>
      <c r="D371">
        <v>75.47</v>
      </c>
      <c r="E371">
        <v>120226.41</v>
      </c>
      <c r="F371" t="s">
        <v>107</v>
      </c>
    </row>
    <row r="372" spans="1:6" x14ac:dyDescent="0.2">
      <c r="A372" t="s">
        <v>109</v>
      </c>
      <c r="B372" t="s">
        <v>7</v>
      </c>
      <c r="C372" t="s">
        <v>30</v>
      </c>
      <c r="D372">
        <v>1921.88</v>
      </c>
      <c r="E372">
        <v>18007.96</v>
      </c>
      <c r="F372" t="s">
        <v>9</v>
      </c>
    </row>
    <row r="373" spans="1:6" x14ac:dyDescent="0.2">
      <c r="A373" t="s">
        <v>109</v>
      </c>
      <c r="B373" t="s">
        <v>10</v>
      </c>
      <c r="C373" t="s">
        <v>31</v>
      </c>
      <c r="D373">
        <v>1921.88</v>
      </c>
      <c r="E373">
        <v>111765.63</v>
      </c>
      <c r="F373" t="s">
        <v>9</v>
      </c>
    </row>
    <row r="374" spans="1:6" x14ac:dyDescent="0.2">
      <c r="A374" t="s">
        <v>110</v>
      </c>
      <c r="B374" t="s">
        <v>7</v>
      </c>
      <c r="C374" t="s">
        <v>30</v>
      </c>
      <c r="D374">
        <v>75.47</v>
      </c>
      <c r="E374">
        <v>17932.490000000002</v>
      </c>
      <c r="F374" t="s">
        <v>106</v>
      </c>
    </row>
    <row r="375" spans="1:6" x14ac:dyDescent="0.2">
      <c r="A375" t="s">
        <v>110</v>
      </c>
      <c r="B375" t="s">
        <v>10</v>
      </c>
      <c r="C375" t="s">
        <v>25</v>
      </c>
      <c r="D375">
        <v>75.47</v>
      </c>
      <c r="E375">
        <v>120301.88</v>
      </c>
      <c r="F375" t="s">
        <v>107</v>
      </c>
    </row>
    <row r="376" spans="1:6" x14ac:dyDescent="0.2">
      <c r="A376" t="s">
        <v>110</v>
      </c>
      <c r="B376" t="s">
        <v>7</v>
      </c>
      <c r="C376" t="s">
        <v>30</v>
      </c>
      <c r="D376">
        <v>1921.87</v>
      </c>
      <c r="E376">
        <v>16010.62</v>
      </c>
      <c r="F376" t="s">
        <v>9</v>
      </c>
    </row>
    <row r="377" spans="1:6" x14ac:dyDescent="0.2">
      <c r="A377" t="s">
        <v>110</v>
      </c>
      <c r="B377" t="s">
        <v>10</v>
      </c>
      <c r="C377" t="s">
        <v>31</v>
      </c>
      <c r="D377">
        <v>1921.87</v>
      </c>
      <c r="E377">
        <v>113687.5</v>
      </c>
      <c r="F377" t="s">
        <v>9</v>
      </c>
    </row>
    <row r="378" spans="1:6" x14ac:dyDescent="0.2">
      <c r="A378" t="s">
        <v>111</v>
      </c>
      <c r="B378" t="s">
        <v>7</v>
      </c>
      <c r="C378" t="s">
        <v>30</v>
      </c>
      <c r="D378">
        <v>75.47</v>
      </c>
      <c r="E378">
        <v>15935.15</v>
      </c>
      <c r="F378" t="s">
        <v>106</v>
      </c>
    </row>
    <row r="379" spans="1:6" x14ac:dyDescent="0.2">
      <c r="A379" t="s">
        <v>111</v>
      </c>
      <c r="B379" t="s">
        <v>10</v>
      </c>
      <c r="C379" t="s">
        <v>25</v>
      </c>
      <c r="D379">
        <v>75.47</v>
      </c>
      <c r="E379">
        <v>120377.35</v>
      </c>
      <c r="F379" t="s">
        <v>107</v>
      </c>
    </row>
    <row r="380" spans="1:6" x14ac:dyDescent="0.2">
      <c r="A380" t="s">
        <v>111</v>
      </c>
      <c r="B380" t="s">
        <v>7</v>
      </c>
      <c r="C380" t="s">
        <v>30</v>
      </c>
      <c r="D380">
        <v>1921.88</v>
      </c>
      <c r="E380">
        <v>14013.27</v>
      </c>
      <c r="F380" t="s">
        <v>9</v>
      </c>
    </row>
    <row r="381" spans="1:6" x14ac:dyDescent="0.2">
      <c r="A381" t="s">
        <v>111</v>
      </c>
      <c r="B381" t="s">
        <v>10</v>
      </c>
      <c r="C381" t="s">
        <v>31</v>
      </c>
      <c r="D381">
        <v>1921.88</v>
      </c>
      <c r="E381">
        <v>115609.38</v>
      </c>
      <c r="F381" t="s">
        <v>9</v>
      </c>
    </row>
    <row r="382" spans="1:6" x14ac:dyDescent="0.2">
      <c r="A382" t="s">
        <v>112</v>
      </c>
      <c r="B382" t="s">
        <v>7</v>
      </c>
      <c r="C382" t="s">
        <v>30</v>
      </c>
      <c r="D382">
        <v>75.47</v>
      </c>
      <c r="E382">
        <v>13937.8</v>
      </c>
      <c r="F382" t="s">
        <v>106</v>
      </c>
    </row>
    <row r="383" spans="1:6" x14ac:dyDescent="0.2">
      <c r="A383" t="s">
        <v>112</v>
      </c>
      <c r="B383" t="s">
        <v>10</v>
      </c>
      <c r="C383" t="s">
        <v>25</v>
      </c>
      <c r="D383">
        <v>75.47</v>
      </c>
      <c r="E383">
        <v>120452.82</v>
      </c>
      <c r="F383" t="s">
        <v>107</v>
      </c>
    </row>
    <row r="384" spans="1:6" x14ac:dyDescent="0.2">
      <c r="A384" t="s">
        <v>112</v>
      </c>
      <c r="B384" t="s">
        <v>7</v>
      </c>
      <c r="C384" t="s">
        <v>30</v>
      </c>
      <c r="D384">
        <v>1921.87</v>
      </c>
      <c r="E384">
        <v>12015.93</v>
      </c>
      <c r="F384" t="s">
        <v>9</v>
      </c>
    </row>
    <row r="385" spans="1:6" x14ac:dyDescent="0.2">
      <c r="A385" t="s">
        <v>112</v>
      </c>
      <c r="B385" t="s">
        <v>10</v>
      </c>
      <c r="C385" t="s">
        <v>31</v>
      </c>
      <c r="D385">
        <v>1921.87</v>
      </c>
      <c r="E385">
        <v>117531.25</v>
      </c>
      <c r="F385" t="s">
        <v>9</v>
      </c>
    </row>
    <row r="386" spans="1:6" x14ac:dyDescent="0.2">
      <c r="A386" t="s">
        <v>113</v>
      </c>
      <c r="B386" t="s">
        <v>7</v>
      </c>
      <c r="C386" t="s">
        <v>30</v>
      </c>
      <c r="D386">
        <v>75.47</v>
      </c>
      <c r="E386">
        <v>11940.46</v>
      </c>
      <c r="F386" t="s">
        <v>106</v>
      </c>
    </row>
    <row r="387" spans="1:6" x14ac:dyDescent="0.2">
      <c r="A387" t="s">
        <v>113</v>
      </c>
      <c r="B387" t="s">
        <v>10</v>
      </c>
      <c r="C387" t="s">
        <v>25</v>
      </c>
      <c r="D387">
        <v>75.47</v>
      </c>
      <c r="E387">
        <v>120528.29</v>
      </c>
      <c r="F387" t="s">
        <v>107</v>
      </c>
    </row>
    <row r="388" spans="1:6" x14ac:dyDescent="0.2">
      <c r="A388" t="s">
        <v>113</v>
      </c>
      <c r="B388" t="s">
        <v>7</v>
      </c>
      <c r="C388" t="s">
        <v>30</v>
      </c>
      <c r="D388">
        <v>1921.88</v>
      </c>
      <c r="E388">
        <v>10018.58</v>
      </c>
      <c r="F388" t="s">
        <v>9</v>
      </c>
    </row>
    <row r="389" spans="1:6" x14ac:dyDescent="0.2">
      <c r="A389" t="s">
        <v>113</v>
      </c>
      <c r="B389" t="s">
        <v>10</v>
      </c>
      <c r="C389" t="s">
        <v>31</v>
      </c>
      <c r="D389">
        <v>1921.88</v>
      </c>
      <c r="E389">
        <v>119453.13</v>
      </c>
      <c r="F389" t="s">
        <v>9</v>
      </c>
    </row>
    <row r="390" spans="1:6" x14ac:dyDescent="0.2">
      <c r="A390" t="s">
        <v>114</v>
      </c>
      <c r="B390" t="s">
        <v>7</v>
      </c>
      <c r="C390" t="s">
        <v>30</v>
      </c>
      <c r="D390">
        <v>75.47</v>
      </c>
      <c r="E390">
        <v>9943.11</v>
      </c>
      <c r="F390" t="s">
        <v>106</v>
      </c>
    </row>
    <row r="391" spans="1:6" x14ac:dyDescent="0.2">
      <c r="A391" t="s">
        <v>114</v>
      </c>
      <c r="B391" t="s">
        <v>10</v>
      </c>
      <c r="C391" t="s">
        <v>25</v>
      </c>
      <c r="D391">
        <v>75.47</v>
      </c>
      <c r="E391">
        <v>120603.76</v>
      </c>
      <c r="F391" t="s">
        <v>107</v>
      </c>
    </row>
    <row r="392" spans="1:6" x14ac:dyDescent="0.2">
      <c r="A392" t="s">
        <v>114</v>
      </c>
      <c r="B392" t="s">
        <v>7</v>
      </c>
      <c r="C392" t="s">
        <v>30</v>
      </c>
      <c r="D392">
        <v>1921.87</v>
      </c>
      <c r="E392">
        <v>8021.24</v>
      </c>
      <c r="F392" t="s">
        <v>9</v>
      </c>
    </row>
    <row r="393" spans="1:6" x14ac:dyDescent="0.2">
      <c r="A393" t="s">
        <v>114</v>
      </c>
      <c r="B393" t="s">
        <v>10</v>
      </c>
      <c r="C393" t="s">
        <v>31</v>
      </c>
      <c r="D393">
        <v>1921.87</v>
      </c>
      <c r="E393">
        <v>121375</v>
      </c>
      <c r="F393" t="s">
        <v>9</v>
      </c>
    </row>
    <row r="394" spans="1:6" x14ac:dyDescent="0.2">
      <c r="A394" t="s">
        <v>115</v>
      </c>
      <c r="B394" t="s">
        <v>7</v>
      </c>
      <c r="C394" t="s">
        <v>30</v>
      </c>
      <c r="D394">
        <v>75.47</v>
      </c>
      <c r="E394">
        <v>7945.77</v>
      </c>
      <c r="F394" t="s">
        <v>106</v>
      </c>
    </row>
    <row r="395" spans="1:6" x14ac:dyDescent="0.2">
      <c r="A395" t="s">
        <v>115</v>
      </c>
      <c r="B395" t="s">
        <v>10</v>
      </c>
      <c r="C395" t="s">
        <v>25</v>
      </c>
      <c r="D395">
        <v>75.47</v>
      </c>
      <c r="E395">
        <v>120679.23</v>
      </c>
      <c r="F395" t="s">
        <v>107</v>
      </c>
    </row>
    <row r="396" spans="1:6" x14ac:dyDescent="0.2">
      <c r="A396" t="s">
        <v>115</v>
      </c>
      <c r="B396" t="s">
        <v>7</v>
      </c>
      <c r="C396" t="s">
        <v>30</v>
      </c>
      <c r="D396">
        <v>1921.88</v>
      </c>
      <c r="E396">
        <v>6023.89</v>
      </c>
      <c r="F396" t="s">
        <v>9</v>
      </c>
    </row>
    <row r="397" spans="1:6" x14ac:dyDescent="0.2">
      <c r="A397" t="s">
        <v>115</v>
      </c>
      <c r="B397" t="s">
        <v>10</v>
      </c>
      <c r="C397" t="s">
        <v>31</v>
      </c>
      <c r="D397">
        <v>1921.88</v>
      </c>
      <c r="E397">
        <v>123296.88</v>
      </c>
      <c r="F397" t="s">
        <v>9</v>
      </c>
    </row>
    <row r="398" spans="1:6" x14ac:dyDescent="0.2">
      <c r="A398" t="s">
        <v>116</v>
      </c>
      <c r="B398" t="s">
        <v>7</v>
      </c>
      <c r="C398" t="s">
        <v>30</v>
      </c>
      <c r="D398">
        <v>75.47</v>
      </c>
      <c r="E398">
        <v>5948.42</v>
      </c>
      <c r="F398" t="s">
        <v>106</v>
      </c>
    </row>
    <row r="399" spans="1:6" x14ac:dyDescent="0.2">
      <c r="A399" t="s">
        <v>116</v>
      </c>
      <c r="B399" t="s">
        <v>10</v>
      </c>
      <c r="C399" t="s">
        <v>25</v>
      </c>
      <c r="D399">
        <v>75.47</v>
      </c>
      <c r="E399">
        <v>120754.7</v>
      </c>
      <c r="F399" t="s">
        <v>107</v>
      </c>
    </row>
    <row r="400" spans="1:6" x14ac:dyDescent="0.2">
      <c r="A400" t="s">
        <v>116</v>
      </c>
      <c r="B400" t="s">
        <v>7</v>
      </c>
      <c r="C400" t="s">
        <v>30</v>
      </c>
      <c r="D400">
        <v>1921.87</v>
      </c>
      <c r="E400">
        <v>4026.55</v>
      </c>
      <c r="F400" t="s">
        <v>9</v>
      </c>
    </row>
    <row r="401" spans="1:13" x14ac:dyDescent="0.2">
      <c r="A401" t="s">
        <v>116</v>
      </c>
      <c r="B401" t="s">
        <v>10</v>
      </c>
      <c r="C401" t="s">
        <v>31</v>
      </c>
      <c r="D401">
        <v>1921.87</v>
      </c>
      <c r="E401">
        <v>125218.75</v>
      </c>
      <c r="F401" t="s">
        <v>9</v>
      </c>
    </row>
    <row r="402" spans="1:13" x14ac:dyDescent="0.2">
      <c r="A402" t="s">
        <v>117</v>
      </c>
      <c r="B402" t="s">
        <v>7</v>
      </c>
      <c r="C402" t="s">
        <v>30</v>
      </c>
      <c r="D402">
        <v>75.47</v>
      </c>
      <c r="E402">
        <v>3951.08</v>
      </c>
      <c r="F402" t="s">
        <v>106</v>
      </c>
    </row>
    <row r="403" spans="1:13" x14ac:dyDescent="0.2">
      <c r="A403" t="s">
        <v>117</v>
      </c>
      <c r="B403" t="s">
        <v>10</v>
      </c>
      <c r="C403" t="s">
        <v>25</v>
      </c>
      <c r="D403">
        <v>75.47</v>
      </c>
      <c r="E403">
        <v>120830.17</v>
      </c>
      <c r="F403" t="s">
        <v>107</v>
      </c>
    </row>
    <row r="404" spans="1:13" x14ac:dyDescent="0.2">
      <c r="A404" t="s">
        <v>117</v>
      </c>
      <c r="B404" t="s">
        <v>7</v>
      </c>
      <c r="C404" t="s">
        <v>30</v>
      </c>
      <c r="D404">
        <v>1921.87</v>
      </c>
      <c r="E404">
        <v>2029.21</v>
      </c>
      <c r="F404" t="s">
        <v>9</v>
      </c>
    </row>
    <row r="405" spans="1:13" x14ac:dyDescent="0.2">
      <c r="A405" t="s">
        <v>117</v>
      </c>
      <c r="B405" t="s">
        <v>10</v>
      </c>
      <c r="C405" t="s">
        <v>31</v>
      </c>
      <c r="D405">
        <v>1921.87</v>
      </c>
      <c r="E405">
        <v>127140.62</v>
      </c>
      <c r="F405" t="s">
        <v>9</v>
      </c>
    </row>
    <row r="406" spans="1:13" x14ac:dyDescent="0.2">
      <c r="A406" t="s">
        <v>118</v>
      </c>
      <c r="B406" t="s">
        <v>7</v>
      </c>
      <c r="C406" t="s">
        <v>30</v>
      </c>
      <c r="D406">
        <v>75.489999999999995</v>
      </c>
      <c r="E406">
        <v>1953.72</v>
      </c>
      <c r="F406" t="s">
        <v>106</v>
      </c>
    </row>
    <row r="407" spans="1:13" x14ac:dyDescent="0.2">
      <c r="A407" t="s">
        <v>118</v>
      </c>
      <c r="B407" t="s">
        <v>10</v>
      </c>
      <c r="C407" t="s">
        <v>25</v>
      </c>
      <c r="D407">
        <v>75.489999999999995</v>
      </c>
      <c r="E407">
        <v>120905.66</v>
      </c>
      <c r="F407" t="s">
        <v>107</v>
      </c>
    </row>
    <row r="408" spans="1:13" x14ac:dyDescent="0.2">
      <c r="A408" t="s">
        <v>118</v>
      </c>
      <c r="B408" t="s">
        <v>7</v>
      </c>
      <c r="C408" t="s">
        <v>30</v>
      </c>
      <c r="D408">
        <v>1921.88</v>
      </c>
      <c r="E408">
        <v>31.84</v>
      </c>
      <c r="F408" t="s">
        <v>9</v>
      </c>
    </row>
    <row r="409" spans="1:13" x14ac:dyDescent="0.2">
      <c r="A409" t="s">
        <v>118</v>
      </c>
      <c r="B409" t="s">
        <v>10</v>
      </c>
      <c r="C409" t="s">
        <v>31</v>
      </c>
      <c r="D409">
        <v>1921.88</v>
      </c>
      <c r="E409">
        <v>129062.5</v>
      </c>
      <c r="F409" t="s">
        <v>9</v>
      </c>
    </row>
    <row r="410" spans="1:13" x14ac:dyDescent="0.2">
      <c r="A410" t="s">
        <v>119</v>
      </c>
      <c r="B410" t="s">
        <v>24</v>
      </c>
      <c r="C410" t="s">
        <v>25</v>
      </c>
      <c r="E410">
        <v>120905.66</v>
      </c>
      <c r="F410" t="s">
        <v>26</v>
      </c>
      <c r="J410">
        <f>SUMIFS(D362:D409,B362:B409,"Deposit",C362:C409,"Savings")</f>
        <v>905.6600000000002</v>
      </c>
      <c r="K410">
        <f>SUMIFS(D362:D409,B362:B409,"Payment",C362:C409,"Savings")</f>
        <v>0</v>
      </c>
      <c r="L410">
        <f>SUMIFS(D362:D409,B362:B409,"Withdraw",C362:C409,"Savings")</f>
        <v>0</v>
      </c>
      <c r="M410">
        <f>ROUND(M346+J410-K410-L410,2)</f>
        <v>120905.66</v>
      </c>
    </row>
    <row r="411" spans="1:13" x14ac:dyDescent="0.2">
      <c r="A411" t="s">
        <v>119</v>
      </c>
      <c r="B411" t="s">
        <v>24</v>
      </c>
      <c r="C411" t="s">
        <v>27</v>
      </c>
      <c r="E411">
        <v>120000</v>
      </c>
      <c r="F411" t="s">
        <v>26</v>
      </c>
      <c r="J411">
        <f>SUMIFS(D362:D409,B362:B409,"Deposit",C362:C409,"Savings2")</f>
        <v>0</v>
      </c>
      <c r="L411">
        <f>SUMIFS(D362:D409,B362:B409,"Withdraw",C362:C409,"Savings2")</f>
        <v>0</v>
      </c>
      <c r="M411">
        <f>ROUND(M347+J411-K411-L411,2)</f>
        <v>120000</v>
      </c>
    </row>
    <row r="412" spans="1:13" x14ac:dyDescent="0.2">
      <c r="A412" t="s">
        <v>119</v>
      </c>
      <c r="B412" t="s">
        <v>24</v>
      </c>
      <c r="C412" t="s">
        <v>28</v>
      </c>
      <c r="E412">
        <v>120000</v>
      </c>
      <c r="F412" t="s">
        <v>26</v>
      </c>
      <c r="J412">
        <f>SUMIFS(D362:D409,B362:B409,"Deposit",C362:C409,"Brokerage")</f>
        <v>0</v>
      </c>
      <c r="L412">
        <f>SUMIFS(D362:D409,B362:B409,"Withdraw",C362:C409,"Brokerage")</f>
        <v>0</v>
      </c>
      <c r="M412">
        <f>ROUND(M348+J412-K412-L412,2)</f>
        <v>120000</v>
      </c>
    </row>
    <row r="413" spans="1:13" x14ac:dyDescent="0.2">
      <c r="A413" t="s">
        <v>119</v>
      </c>
      <c r="B413" t="s">
        <v>24</v>
      </c>
      <c r="C413" t="s">
        <v>29</v>
      </c>
      <c r="E413">
        <v>120000</v>
      </c>
      <c r="F413" t="s">
        <v>26</v>
      </c>
      <c r="J413">
        <f>SUMIFS(D362:D409,B362:B409,"Deposit",C362:C409,"Brokerage2")</f>
        <v>0</v>
      </c>
      <c r="L413">
        <f>SUMIFS(D362:D409,B362:B409,"Withdraw",C362:C409,"Brokerage2")</f>
        <v>0</v>
      </c>
      <c r="M413">
        <f>ROUND(M349+J413-K413-L413,2)</f>
        <v>120000</v>
      </c>
    </row>
    <row r="414" spans="1:13" x14ac:dyDescent="0.2">
      <c r="A414" t="s">
        <v>119</v>
      </c>
      <c r="B414" t="s">
        <v>24</v>
      </c>
      <c r="C414" t="s">
        <v>8</v>
      </c>
      <c r="E414">
        <v>0</v>
      </c>
      <c r="F414" t="s">
        <v>26</v>
      </c>
      <c r="J414">
        <f>SUMIFS(D362:D409,B362:B409,"Deposit",C362:C409,"IRA")</f>
        <v>0</v>
      </c>
      <c r="L414">
        <f>SUMIFS(D362:D409,B362:B409,"Withdraw",C362:C409,"IRA")</f>
        <v>0</v>
      </c>
      <c r="M414">
        <f>ROUND(M350+J414-K414-L414,2)</f>
        <v>0</v>
      </c>
    </row>
    <row r="415" spans="1:13" x14ac:dyDescent="0.2">
      <c r="A415" t="s">
        <v>119</v>
      </c>
      <c r="B415" t="s">
        <v>24</v>
      </c>
      <c r="C415" t="s">
        <v>30</v>
      </c>
      <c r="E415">
        <v>31.84</v>
      </c>
      <c r="F415" t="s">
        <v>26</v>
      </c>
      <c r="J415">
        <f>SUMIFS(D362:D409,B362:B409,"Deposit",C362:C409,"IRA2")</f>
        <v>0</v>
      </c>
      <c r="L415">
        <f>SUMIFS(D362:D409,B362:B409,"Withdraw",C362:C409,"IRA2")</f>
        <v>23968.16</v>
      </c>
      <c r="M415">
        <f>ROUND(M351+J415-K415-L415,2)</f>
        <v>31.84</v>
      </c>
    </row>
    <row r="416" spans="1:13" x14ac:dyDescent="0.2">
      <c r="A416" t="s">
        <v>119</v>
      </c>
      <c r="B416" t="s">
        <v>24</v>
      </c>
      <c r="C416" t="s">
        <v>11</v>
      </c>
      <c r="E416">
        <v>130000</v>
      </c>
      <c r="F416" t="s">
        <v>26</v>
      </c>
      <c r="J416">
        <f>SUMIFS(D362:D409,B362:B409,"Deposit",C362:C409,"Roth")</f>
        <v>0</v>
      </c>
      <c r="L416">
        <f>SUMIFS(D362:D409,B362:B409,"Withdraw",C362:C409,"Roth")</f>
        <v>0</v>
      </c>
      <c r="M416">
        <f>ROUND(M352+J416-K416-L416,2)</f>
        <v>130000</v>
      </c>
    </row>
    <row r="417" spans="1:15" x14ac:dyDescent="0.2">
      <c r="A417" t="s">
        <v>119</v>
      </c>
      <c r="B417" t="s">
        <v>24</v>
      </c>
      <c r="C417" t="s">
        <v>31</v>
      </c>
      <c r="E417">
        <v>129062.5</v>
      </c>
      <c r="F417" t="s">
        <v>26</v>
      </c>
      <c r="J417">
        <f>SUMIFS(D362:D409,B362:B409,"Deposit",C362:C409,"Roth2")</f>
        <v>23062.5</v>
      </c>
      <c r="L417">
        <f>SUMIFS(D362:D409,B362:B409,"Withdraw",C362:C409,"Roth2")</f>
        <v>0</v>
      </c>
      <c r="M417">
        <f>ROUND(M353+J417-K417-L417,2)</f>
        <v>129062.5</v>
      </c>
    </row>
    <row r="418" spans="1:15" x14ac:dyDescent="0.2">
      <c r="A418" t="s">
        <v>119</v>
      </c>
      <c r="B418" t="s">
        <v>32</v>
      </c>
      <c r="C418" t="s">
        <v>33</v>
      </c>
      <c r="E418">
        <v>0</v>
      </c>
      <c r="F418" t="s">
        <v>34</v>
      </c>
      <c r="J418">
        <f>SUMIFS(D362:D409,C362:C409,"Savings",B362:B409,"Deposit",F362:F409,"=*income*")</f>
        <v>0</v>
      </c>
      <c r="K418">
        <f>J418*6.2%</f>
        <v>0</v>
      </c>
    </row>
    <row r="419" spans="1:15" x14ac:dyDescent="0.2">
      <c r="A419" t="s">
        <v>119</v>
      </c>
      <c r="B419" t="s">
        <v>32</v>
      </c>
      <c r="C419" t="s">
        <v>35</v>
      </c>
      <c r="E419">
        <v>0</v>
      </c>
      <c r="F419" t="s">
        <v>36</v>
      </c>
      <c r="J419">
        <f>J418</f>
        <v>0</v>
      </c>
      <c r="K419">
        <f>J419*1.45%</f>
        <v>0</v>
      </c>
    </row>
    <row r="420" spans="1:15" x14ac:dyDescent="0.2">
      <c r="A420" t="s">
        <v>119</v>
      </c>
      <c r="B420" t="s">
        <v>32</v>
      </c>
      <c r="C420" t="s">
        <v>37</v>
      </c>
      <c r="E420">
        <v>0</v>
      </c>
      <c r="F420" t="s">
        <v>38</v>
      </c>
    </row>
    <row r="421" spans="1:15" x14ac:dyDescent="0.2">
      <c r="A421" t="s">
        <v>119</v>
      </c>
      <c r="B421" t="s">
        <v>32</v>
      </c>
      <c r="C421" t="s">
        <v>39</v>
      </c>
      <c r="E421">
        <v>0</v>
      </c>
      <c r="F421" t="s">
        <v>40</v>
      </c>
    </row>
    <row r="422" spans="1:15" x14ac:dyDescent="0.2">
      <c r="A422" t="s">
        <v>119</v>
      </c>
      <c r="B422" t="s">
        <v>32</v>
      </c>
      <c r="C422" t="s">
        <v>41</v>
      </c>
      <c r="E422">
        <v>23968.16</v>
      </c>
      <c r="F422" t="s">
        <v>42</v>
      </c>
      <c r="J422">
        <f>J418</f>
        <v>0</v>
      </c>
      <c r="K422">
        <v>0</v>
      </c>
      <c r="L422">
        <f>SUM(L412:L413)/2</f>
        <v>0</v>
      </c>
      <c r="M422">
        <f>SUM(L414:L415)</f>
        <v>23968.16</v>
      </c>
      <c r="O422">
        <f>SUM(J422:N422)</f>
        <v>23968.16</v>
      </c>
    </row>
    <row r="423" spans="1:15" x14ac:dyDescent="0.2">
      <c r="A423" t="s">
        <v>119</v>
      </c>
      <c r="B423" t="s">
        <v>32</v>
      </c>
      <c r="C423" t="s">
        <v>43</v>
      </c>
      <c r="E423">
        <v>0</v>
      </c>
      <c r="F423" t="s">
        <v>44</v>
      </c>
    </row>
    <row r="424" spans="1:15" x14ac:dyDescent="0.2">
      <c r="A424" t="s">
        <v>119</v>
      </c>
      <c r="B424" t="s">
        <v>32</v>
      </c>
      <c r="C424" t="s">
        <v>45</v>
      </c>
      <c r="E424">
        <v>0</v>
      </c>
      <c r="F424" t="s">
        <v>46</v>
      </c>
    </row>
    <row r="425" spans="1:15" x14ac:dyDescent="0.2">
      <c r="A425" t="s">
        <v>119</v>
      </c>
      <c r="B425" t="s">
        <v>32</v>
      </c>
      <c r="C425" t="s">
        <v>47</v>
      </c>
      <c r="E425">
        <v>0</v>
      </c>
      <c r="F425" t="s">
        <v>48</v>
      </c>
    </row>
    <row r="426" spans="1:15" x14ac:dyDescent="0.2">
      <c r="A426" t="s">
        <v>120</v>
      </c>
      <c r="B426" t="s">
        <v>7</v>
      </c>
      <c r="C426" t="s">
        <v>30</v>
      </c>
      <c r="D426">
        <v>0.1</v>
      </c>
      <c r="E426">
        <v>31.74</v>
      </c>
      <c r="F426" t="s">
        <v>106</v>
      </c>
    </row>
    <row r="427" spans="1:15" x14ac:dyDescent="0.2">
      <c r="A427" t="s">
        <v>120</v>
      </c>
      <c r="B427" t="s">
        <v>10</v>
      </c>
      <c r="C427" t="s">
        <v>25</v>
      </c>
      <c r="D427">
        <v>0.1</v>
      </c>
      <c r="E427">
        <v>120905.76</v>
      </c>
      <c r="F427" t="s">
        <v>107</v>
      </c>
    </row>
    <row r="428" spans="1:15" x14ac:dyDescent="0.2">
      <c r="A428" t="s">
        <v>121</v>
      </c>
      <c r="B428" t="s">
        <v>7</v>
      </c>
      <c r="C428" t="s">
        <v>30</v>
      </c>
      <c r="D428">
        <v>0.1</v>
      </c>
      <c r="E428">
        <v>31.64</v>
      </c>
      <c r="F428" t="s">
        <v>106</v>
      </c>
    </row>
    <row r="429" spans="1:15" x14ac:dyDescent="0.2">
      <c r="A429" t="s">
        <v>121</v>
      </c>
      <c r="B429" t="s">
        <v>10</v>
      </c>
      <c r="C429" t="s">
        <v>25</v>
      </c>
      <c r="D429">
        <v>0.1</v>
      </c>
      <c r="E429">
        <v>120905.86</v>
      </c>
      <c r="F429" t="s">
        <v>107</v>
      </c>
    </row>
    <row r="430" spans="1:15" x14ac:dyDescent="0.2">
      <c r="A430" t="s">
        <v>122</v>
      </c>
      <c r="B430" t="s">
        <v>7</v>
      </c>
      <c r="C430" t="s">
        <v>30</v>
      </c>
      <c r="D430">
        <v>0.1</v>
      </c>
      <c r="E430">
        <v>31.54</v>
      </c>
      <c r="F430" t="s">
        <v>106</v>
      </c>
    </row>
    <row r="431" spans="1:15" x14ac:dyDescent="0.2">
      <c r="A431" t="s">
        <v>122</v>
      </c>
      <c r="B431" t="s">
        <v>10</v>
      </c>
      <c r="C431" t="s">
        <v>25</v>
      </c>
      <c r="D431">
        <v>0.1</v>
      </c>
      <c r="E431">
        <v>120905.96</v>
      </c>
      <c r="F431" t="s">
        <v>107</v>
      </c>
    </row>
    <row r="432" spans="1:15" x14ac:dyDescent="0.2">
      <c r="A432" t="s">
        <v>123</v>
      </c>
      <c r="B432" t="s">
        <v>7</v>
      </c>
      <c r="C432" t="s">
        <v>30</v>
      </c>
      <c r="D432">
        <v>0.1</v>
      </c>
      <c r="E432">
        <v>31.44</v>
      </c>
      <c r="F432" t="s">
        <v>106</v>
      </c>
    </row>
    <row r="433" spans="1:6" x14ac:dyDescent="0.2">
      <c r="A433" t="s">
        <v>123</v>
      </c>
      <c r="B433" t="s">
        <v>10</v>
      </c>
      <c r="C433" t="s">
        <v>25</v>
      </c>
      <c r="D433">
        <v>0.1</v>
      </c>
      <c r="E433">
        <v>120906.06</v>
      </c>
      <c r="F433" t="s">
        <v>107</v>
      </c>
    </row>
    <row r="434" spans="1:6" x14ac:dyDescent="0.2">
      <c r="A434" t="s">
        <v>124</v>
      </c>
      <c r="B434" t="s">
        <v>7</v>
      </c>
      <c r="C434" t="s">
        <v>30</v>
      </c>
      <c r="D434">
        <v>0.1</v>
      </c>
      <c r="E434">
        <v>31.34</v>
      </c>
      <c r="F434" t="s">
        <v>106</v>
      </c>
    </row>
    <row r="435" spans="1:6" x14ac:dyDescent="0.2">
      <c r="A435" t="s">
        <v>124</v>
      </c>
      <c r="B435" t="s">
        <v>10</v>
      </c>
      <c r="C435" t="s">
        <v>25</v>
      </c>
      <c r="D435">
        <v>0.1</v>
      </c>
      <c r="E435">
        <v>120906.16</v>
      </c>
      <c r="F435" t="s">
        <v>107</v>
      </c>
    </row>
    <row r="436" spans="1:6" x14ac:dyDescent="0.2">
      <c r="A436" t="s">
        <v>125</v>
      </c>
      <c r="B436" t="s">
        <v>7</v>
      </c>
      <c r="C436" t="s">
        <v>30</v>
      </c>
      <c r="D436">
        <v>0.1</v>
      </c>
      <c r="E436">
        <v>31.24</v>
      </c>
      <c r="F436" t="s">
        <v>106</v>
      </c>
    </row>
    <row r="437" spans="1:6" x14ac:dyDescent="0.2">
      <c r="A437" t="s">
        <v>125</v>
      </c>
      <c r="B437" t="s">
        <v>10</v>
      </c>
      <c r="C437" t="s">
        <v>25</v>
      </c>
      <c r="D437">
        <v>0.1</v>
      </c>
      <c r="E437">
        <v>120906.26</v>
      </c>
      <c r="F437" t="s">
        <v>107</v>
      </c>
    </row>
    <row r="438" spans="1:6" x14ac:dyDescent="0.2">
      <c r="A438" t="s">
        <v>126</v>
      </c>
      <c r="B438" t="s">
        <v>7</v>
      </c>
      <c r="C438" t="s">
        <v>30</v>
      </c>
      <c r="D438">
        <v>0.1</v>
      </c>
      <c r="E438">
        <v>31.14</v>
      </c>
      <c r="F438" t="s">
        <v>106</v>
      </c>
    </row>
    <row r="439" spans="1:6" x14ac:dyDescent="0.2">
      <c r="A439" t="s">
        <v>126</v>
      </c>
      <c r="B439" t="s">
        <v>10</v>
      </c>
      <c r="C439" t="s">
        <v>25</v>
      </c>
      <c r="D439">
        <v>0.1</v>
      </c>
      <c r="E439">
        <v>120906.36</v>
      </c>
      <c r="F439" t="s">
        <v>107</v>
      </c>
    </row>
    <row r="440" spans="1:6" x14ac:dyDescent="0.2">
      <c r="A440" t="s">
        <v>127</v>
      </c>
      <c r="B440" t="s">
        <v>7</v>
      </c>
      <c r="C440" t="s">
        <v>30</v>
      </c>
      <c r="D440">
        <v>0.1</v>
      </c>
      <c r="E440">
        <v>31.04</v>
      </c>
      <c r="F440" t="s">
        <v>106</v>
      </c>
    </row>
    <row r="441" spans="1:6" x14ac:dyDescent="0.2">
      <c r="A441" t="s">
        <v>127</v>
      </c>
      <c r="B441" t="s">
        <v>10</v>
      </c>
      <c r="C441" t="s">
        <v>25</v>
      </c>
      <c r="D441">
        <v>0.1</v>
      </c>
      <c r="E441">
        <v>120906.46</v>
      </c>
      <c r="F441" t="s">
        <v>107</v>
      </c>
    </row>
    <row r="442" spans="1:6" x14ac:dyDescent="0.2">
      <c r="A442" t="s">
        <v>128</v>
      </c>
      <c r="B442" t="s">
        <v>7</v>
      </c>
      <c r="C442" t="s">
        <v>30</v>
      </c>
      <c r="D442">
        <v>0.1</v>
      </c>
      <c r="E442">
        <v>30.94</v>
      </c>
      <c r="F442" t="s">
        <v>106</v>
      </c>
    </row>
    <row r="443" spans="1:6" x14ac:dyDescent="0.2">
      <c r="A443" t="s">
        <v>128</v>
      </c>
      <c r="B443" t="s">
        <v>10</v>
      </c>
      <c r="C443" t="s">
        <v>25</v>
      </c>
      <c r="D443">
        <v>0.1</v>
      </c>
      <c r="E443">
        <v>120906.56</v>
      </c>
      <c r="F443" t="s">
        <v>107</v>
      </c>
    </row>
    <row r="444" spans="1:6" x14ac:dyDescent="0.2">
      <c r="A444" t="s">
        <v>129</v>
      </c>
      <c r="B444" t="s">
        <v>7</v>
      </c>
      <c r="C444" t="s">
        <v>30</v>
      </c>
      <c r="D444">
        <v>0.1</v>
      </c>
      <c r="E444">
        <v>30.84</v>
      </c>
      <c r="F444" t="s">
        <v>106</v>
      </c>
    </row>
    <row r="445" spans="1:6" x14ac:dyDescent="0.2">
      <c r="A445" t="s">
        <v>129</v>
      </c>
      <c r="B445" t="s">
        <v>10</v>
      </c>
      <c r="C445" t="s">
        <v>25</v>
      </c>
      <c r="D445">
        <v>0.1</v>
      </c>
      <c r="E445">
        <v>120906.66</v>
      </c>
      <c r="F445" t="s">
        <v>107</v>
      </c>
    </row>
    <row r="446" spans="1:6" x14ac:dyDescent="0.2">
      <c r="A446" t="s">
        <v>130</v>
      </c>
      <c r="B446" t="s">
        <v>7</v>
      </c>
      <c r="C446" t="s">
        <v>30</v>
      </c>
      <c r="D446">
        <v>0.1</v>
      </c>
      <c r="E446">
        <v>30.74</v>
      </c>
      <c r="F446" t="s">
        <v>106</v>
      </c>
    </row>
    <row r="447" spans="1:6" x14ac:dyDescent="0.2">
      <c r="A447" t="s">
        <v>130</v>
      </c>
      <c r="B447" t="s">
        <v>10</v>
      </c>
      <c r="C447" t="s">
        <v>25</v>
      </c>
      <c r="D447">
        <v>0.1</v>
      </c>
      <c r="E447">
        <v>120906.76</v>
      </c>
      <c r="F447" t="s">
        <v>107</v>
      </c>
    </row>
    <row r="448" spans="1:6" x14ac:dyDescent="0.2">
      <c r="A448" t="s">
        <v>131</v>
      </c>
      <c r="B448" t="s">
        <v>7</v>
      </c>
      <c r="C448" t="s">
        <v>30</v>
      </c>
      <c r="D448">
        <v>0.15</v>
      </c>
      <c r="E448">
        <v>30.59</v>
      </c>
      <c r="F448" t="s">
        <v>106</v>
      </c>
    </row>
    <row r="449" spans="1:15" x14ac:dyDescent="0.2">
      <c r="A449" t="s">
        <v>131</v>
      </c>
      <c r="B449" t="s">
        <v>10</v>
      </c>
      <c r="C449" t="s">
        <v>25</v>
      </c>
      <c r="D449">
        <v>0.15</v>
      </c>
      <c r="E449">
        <v>120906.91</v>
      </c>
      <c r="F449" t="s">
        <v>107</v>
      </c>
    </row>
    <row r="450" spans="1:15" x14ac:dyDescent="0.2">
      <c r="A450" t="s">
        <v>132</v>
      </c>
      <c r="B450" t="s">
        <v>24</v>
      </c>
      <c r="C450" t="s">
        <v>25</v>
      </c>
      <c r="E450">
        <v>120906.91</v>
      </c>
      <c r="F450" t="s">
        <v>26</v>
      </c>
      <c r="J450">
        <f>SUMIFS(D426:D449,B426:B449,"Deposit",C426:C449,"Savings")</f>
        <v>1.2499999999999998</v>
      </c>
      <c r="K450">
        <f>SUMIFS(D426:D449,B426:B449,"Payment",C426:C449,"Savings")</f>
        <v>0</v>
      </c>
      <c r="L450">
        <f>SUMIFS(D426:D449,B426:B449,"Withdraw",C426:C449,"Savings")</f>
        <v>0</v>
      </c>
      <c r="M450">
        <f>ROUND(M410+J450-K450-L450,2)</f>
        <v>120906.91</v>
      </c>
    </row>
    <row r="451" spans="1:15" x14ac:dyDescent="0.2">
      <c r="A451" t="s">
        <v>132</v>
      </c>
      <c r="B451" t="s">
        <v>24</v>
      </c>
      <c r="C451" t="s">
        <v>27</v>
      </c>
      <c r="E451">
        <v>120000</v>
      </c>
      <c r="F451" t="s">
        <v>26</v>
      </c>
      <c r="J451">
        <f>SUMIFS(D426:D449,B426:B449,"Deposit",C426:C449,"Savings2")</f>
        <v>0</v>
      </c>
      <c r="L451">
        <f>SUMIFS(D426:D449,B426:B449,"Withdraw",C426:C449,"Savings2")</f>
        <v>0</v>
      </c>
      <c r="M451">
        <f>ROUND(M411+J451-K451-L451,2)</f>
        <v>120000</v>
      </c>
    </row>
    <row r="452" spans="1:15" x14ac:dyDescent="0.2">
      <c r="A452" t="s">
        <v>132</v>
      </c>
      <c r="B452" t="s">
        <v>24</v>
      </c>
      <c r="C452" t="s">
        <v>28</v>
      </c>
      <c r="E452">
        <v>120000</v>
      </c>
      <c r="F452" t="s">
        <v>26</v>
      </c>
      <c r="J452">
        <f>SUMIFS(D426:D449,B426:B449,"Deposit",C426:C449,"Brokerage")</f>
        <v>0</v>
      </c>
      <c r="L452">
        <f>SUMIFS(D426:D449,B426:B449,"Withdraw",C426:C449,"Brokerage")</f>
        <v>0</v>
      </c>
      <c r="M452">
        <f>ROUND(M412+J452-K452-L452,2)</f>
        <v>120000</v>
      </c>
    </row>
    <row r="453" spans="1:15" x14ac:dyDescent="0.2">
      <c r="A453" t="s">
        <v>132</v>
      </c>
      <c r="B453" t="s">
        <v>24</v>
      </c>
      <c r="C453" t="s">
        <v>29</v>
      </c>
      <c r="E453">
        <v>120000</v>
      </c>
      <c r="F453" t="s">
        <v>26</v>
      </c>
      <c r="J453">
        <f>SUMIFS(D426:D449,B426:B449,"Deposit",C426:C449,"Brokerage2")</f>
        <v>0</v>
      </c>
      <c r="L453">
        <f>SUMIFS(D426:D449,B426:B449,"Withdraw",C426:C449,"Brokerage2")</f>
        <v>0</v>
      </c>
      <c r="M453">
        <f>ROUND(M413+J453-K453-L453,2)</f>
        <v>120000</v>
      </c>
    </row>
    <row r="454" spans="1:15" x14ac:dyDescent="0.2">
      <c r="A454" t="s">
        <v>132</v>
      </c>
      <c r="B454" t="s">
        <v>24</v>
      </c>
      <c r="C454" t="s">
        <v>8</v>
      </c>
      <c r="E454">
        <v>0</v>
      </c>
      <c r="F454" t="s">
        <v>26</v>
      </c>
      <c r="J454">
        <f>SUMIFS(D426:D449,B426:B449,"Deposit",C426:C449,"IRA")</f>
        <v>0</v>
      </c>
      <c r="L454">
        <f>SUMIFS(D426:D449,B426:B449,"Withdraw",C426:C449,"IRA")</f>
        <v>0</v>
      </c>
      <c r="M454">
        <f>ROUND(M414+J454-K454-L454,2)</f>
        <v>0</v>
      </c>
    </row>
    <row r="455" spans="1:15" x14ac:dyDescent="0.2">
      <c r="A455" t="s">
        <v>132</v>
      </c>
      <c r="B455" t="s">
        <v>24</v>
      </c>
      <c r="C455" t="s">
        <v>30</v>
      </c>
      <c r="E455">
        <v>30.59</v>
      </c>
      <c r="F455" t="s">
        <v>26</v>
      </c>
      <c r="J455">
        <f>SUMIFS(D426:D449,B426:B449,"Deposit",C426:C449,"IRA2")</f>
        <v>0</v>
      </c>
      <c r="L455">
        <f>SUMIFS(D426:D449,B426:B449,"Withdraw",C426:C449,"IRA2")</f>
        <v>1.2499999999999998</v>
      </c>
      <c r="M455">
        <f>ROUND(M415+J455-K455-L455,2)</f>
        <v>30.59</v>
      </c>
    </row>
    <row r="456" spans="1:15" x14ac:dyDescent="0.2">
      <c r="A456" t="s">
        <v>132</v>
      </c>
      <c r="B456" t="s">
        <v>24</v>
      </c>
      <c r="C456" t="s">
        <v>11</v>
      </c>
      <c r="E456">
        <v>130000</v>
      </c>
      <c r="F456" t="s">
        <v>26</v>
      </c>
      <c r="J456">
        <f>SUMIFS(D426:D449,B426:B449,"Deposit",C426:C449,"Roth")</f>
        <v>0</v>
      </c>
      <c r="L456">
        <f>SUMIFS(D426:D449,B426:B449,"Withdraw",C426:C449,"Roth")</f>
        <v>0</v>
      </c>
      <c r="M456">
        <f>ROUND(M416+J456-K456-L456,2)</f>
        <v>130000</v>
      </c>
    </row>
    <row r="457" spans="1:15" x14ac:dyDescent="0.2">
      <c r="A457" t="s">
        <v>132</v>
      </c>
      <c r="B457" t="s">
        <v>24</v>
      </c>
      <c r="C457" t="s">
        <v>31</v>
      </c>
      <c r="E457">
        <v>129062.5</v>
      </c>
      <c r="F457" t="s">
        <v>26</v>
      </c>
      <c r="J457">
        <f>SUMIFS(D426:D449,B426:B449,"Deposit",C426:C449,"Roth2")</f>
        <v>0</v>
      </c>
      <c r="L457">
        <f>SUMIFS(D426:D449,B426:B449,"Withdraw",C426:C449,"Roth2")</f>
        <v>0</v>
      </c>
      <c r="M457">
        <f>ROUND(M417+J457-K457-L457,2)</f>
        <v>129062.5</v>
      </c>
    </row>
    <row r="458" spans="1:15" x14ac:dyDescent="0.2">
      <c r="A458" t="s">
        <v>132</v>
      </c>
      <c r="B458" t="s">
        <v>32</v>
      </c>
      <c r="C458" t="s">
        <v>33</v>
      </c>
      <c r="E458">
        <v>0</v>
      </c>
      <c r="F458" t="s">
        <v>34</v>
      </c>
      <c r="J458">
        <f>SUMIFS(D426:D449,C426:C449,"Savings",B426:B449,"Deposit",F426:F449,"=*income*")</f>
        <v>0</v>
      </c>
      <c r="K458">
        <f>J458*6.2%</f>
        <v>0</v>
      </c>
    </row>
    <row r="459" spans="1:15" x14ac:dyDescent="0.2">
      <c r="A459" t="s">
        <v>132</v>
      </c>
      <c r="B459" t="s">
        <v>32</v>
      </c>
      <c r="C459" t="s">
        <v>35</v>
      </c>
      <c r="E459">
        <v>0</v>
      </c>
      <c r="F459" t="s">
        <v>36</v>
      </c>
      <c r="J459">
        <f>J458</f>
        <v>0</v>
      </c>
      <c r="K459">
        <f>J459*1.45%</f>
        <v>0</v>
      </c>
    </row>
    <row r="460" spans="1:15" x14ac:dyDescent="0.2">
      <c r="A460" t="s">
        <v>132</v>
      </c>
      <c r="B460" t="s">
        <v>32</v>
      </c>
      <c r="C460" t="s">
        <v>37</v>
      </c>
      <c r="E460">
        <v>0</v>
      </c>
      <c r="F460" t="s">
        <v>38</v>
      </c>
    </row>
    <row r="461" spans="1:15" x14ac:dyDescent="0.2">
      <c r="A461" t="s">
        <v>132</v>
      </c>
      <c r="B461" t="s">
        <v>32</v>
      </c>
      <c r="C461" t="s">
        <v>39</v>
      </c>
      <c r="E461">
        <v>0</v>
      </c>
      <c r="F461" t="s">
        <v>40</v>
      </c>
    </row>
    <row r="462" spans="1:15" x14ac:dyDescent="0.2">
      <c r="A462" t="s">
        <v>132</v>
      </c>
      <c r="B462" t="s">
        <v>32</v>
      </c>
      <c r="C462" t="s">
        <v>41</v>
      </c>
      <c r="E462">
        <v>1.25</v>
      </c>
      <c r="F462" t="s">
        <v>42</v>
      </c>
      <c r="J462">
        <f>J458</f>
        <v>0</v>
      </c>
      <c r="K462">
        <v>0</v>
      </c>
      <c r="L462">
        <f>SUM(L452:L453)/2</f>
        <v>0</v>
      </c>
      <c r="M462">
        <f>SUM(L454:L455)</f>
        <v>1.2499999999999998</v>
      </c>
      <c r="O462">
        <f>SUM(J462:N462)</f>
        <v>1.2499999999999998</v>
      </c>
    </row>
    <row r="463" spans="1:15" x14ac:dyDescent="0.2">
      <c r="A463" t="s">
        <v>132</v>
      </c>
      <c r="B463" t="s">
        <v>32</v>
      </c>
      <c r="C463" t="s">
        <v>43</v>
      </c>
      <c r="E463">
        <v>0</v>
      </c>
      <c r="F463" t="s">
        <v>44</v>
      </c>
    </row>
    <row r="464" spans="1:15" x14ac:dyDescent="0.2">
      <c r="A464" t="s">
        <v>132</v>
      </c>
      <c r="B464" t="s">
        <v>32</v>
      </c>
      <c r="C464" t="s">
        <v>45</v>
      </c>
      <c r="E464">
        <v>0</v>
      </c>
      <c r="F464" t="s">
        <v>46</v>
      </c>
    </row>
    <row r="465" spans="1:6" x14ac:dyDescent="0.2">
      <c r="A465" t="s">
        <v>132</v>
      </c>
      <c r="B465" t="s">
        <v>32</v>
      </c>
      <c r="C465" t="s">
        <v>47</v>
      </c>
      <c r="E465">
        <v>0</v>
      </c>
      <c r="F465" t="s">
        <v>48</v>
      </c>
    </row>
  </sheetData>
  <conditionalFormatting sqref="M26:M33">
    <cfRule type="expression" dxfId="25" priority="24">
      <formula>$E26&lt;&gt;$M26</formula>
    </cfRule>
  </conditionalFormatting>
  <conditionalFormatting sqref="O38">
    <cfRule type="expression" dxfId="24" priority="23">
      <formula>$E38&lt;&gt;$O38</formula>
    </cfRule>
  </conditionalFormatting>
  <conditionalFormatting sqref="M66:M73">
    <cfRule type="expression" dxfId="23" priority="22">
      <formula>$E66&lt;&gt;$M66</formula>
    </cfRule>
  </conditionalFormatting>
  <conditionalFormatting sqref="O78">
    <cfRule type="expression" dxfId="22" priority="21">
      <formula>$E78&lt;&gt;$O78</formula>
    </cfRule>
  </conditionalFormatting>
  <conditionalFormatting sqref="M106:M113">
    <cfRule type="expression" dxfId="21" priority="20">
      <formula>$E106&lt;&gt;$M106</formula>
    </cfRule>
  </conditionalFormatting>
  <conditionalFormatting sqref="O118">
    <cfRule type="expression" dxfId="20" priority="19">
      <formula>$E118&lt;&gt;$O118</formula>
    </cfRule>
  </conditionalFormatting>
  <conditionalFormatting sqref="M146:M153">
    <cfRule type="expression" dxfId="19" priority="18">
      <formula>$E146&lt;&gt;$M146</formula>
    </cfRule>
  </conditionalFormatting>
  <conditionalFormatting sqref="O158">
    <cfRule type="expression" dxfId="18" priority="17">
      <formula>$E158&lt;&gt;$O158</formula>
    </cfRule>
  </conditionalFormatting>
  <conditionalFormatting sqref="M186:M193">
    <cfRule type="expression" dxfId="17" priority="16">
      <formula>$E186&lt;&gt;$M186</formula>
    </cfRule>
  </conditionalFormatting>
  <conditionalFormatting sqref="O198">
    <cfRule type="expression" dxfId="16" priority="15">
      <formula>$E198&lt;&gt;$O198</formula>
    </cfRule>
  </conditionalFormatting>
  <conditionalFormatting sqref="M202:M209">
    <cfRule type="expression" dxfId="15" priority="14">
      <formula>$E202&lt;&gt;$M202</formula>
    </cfRule>
  </conditionalFormatting>
  <conditionalFormatting sqref="O214">
    <cfRule type="expression" dxfId="14" priority="13">
      <formula>$E214&lt;&gt;$O214</formula>
    </cfRule>
  </conditionalFormatting>
  <conditionalFormatting sqref="M226:M233">
    <cfRule type="expression" dxfId="13" priority="12">
      <formula>$E226&lt;&gt;$M226</formula>
    </cfRule>
  </conditionalFormatting>
  <conditionalFormatting sqref="O238">
    <cfRule type="expression" dxfId="12" priority="11">
      <formula>$E238&lt;&gt;$O238</formula>
    </cfRule>
  </conditionalFormatting>
  <conditionalFormatting sqref="M266:M273">
    <cfRule type="expression" dxfId="11" priority="10">
      <formula>$E266&lt;&gt;$M266</formula>
    </cfRule>
  </conditionalFormatting>
  <conditionalFormatting sqref="O278">
    <cfRule type="expression" dxfId="10" priority="9">
      <formula>$E278&lt;&gt;$O278</formula>
    </cfRule>
  </conditionalFormatting>
  <conditionalFormatting sqref="M306:M313">
    <cfRule type="expression" dxfId="9" priority="8">
      <formula>$E306&lt;&gt;$M306</formula>
    </cfRule>
  </conditionalFormatting>
  <conditionalFormatting sqref="O318">
    <cfRule type="expression" dxfId="8" priority="7">
      <formula>$E318&lt;&gt;$O318</formula>
    </cfRule>
  </conditionalFormatting>
  <conditionalFormatting sqref="M346:M353">
    <cfRule type="expression" dxfId="7" priority="6">
      <formula>$E346&lt;&gt;$M346</formula>
    </cfRule>
  </conditionalFormatting>
  <conditionalFormatting sqref="O358">
    <cfRule type="expression" dxfId="6" priority="5">
      <formula>$E358&lt;&gt;$O358</formula>
    </cfRule>
  </conditionalFormatting>
  <conditionalFormatting sqref="M410:M417">
    <cfRule type="expression" dxfId="3" priority="4">
      <formula>$E410&lt;&gt;$M410</formula>
    </cfRule>
  </conditionalFormatting>
  <conditionalFormatting sqref="O422">
    <cfRule type="expression" dxfId="2" priority="3">
      <formula>$E422&lt;&gt;$O422</formula>
    </cfRule>
  </conditionalFormatting>
  <conditionalFormatting sqref="M450:M457">
    <cfRule type="expression" dxfId="1" priority="2">
      <formula>$E450&lt;&gt;$M450</formula>
    </cfRule>
  </conditionalFormatting>
  <conditionalFormatting sqref="O462">
    <cfRule type="expression" dxfId="0" priority="1">
      <formula>$E462&lt;&gt;$O462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MarriedFixedConversionSufficien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Kalan</dc:creator>
  <cp:lastModifiedBy>Michael Kalan</cp:lastModifiedBy>
  <dcterms:created xsi:type="dcterms:W3CDTF">2025-04-25T17:01:40Z</dcterms:created>
  <dcterms:modified xsi:type="dcterms:W3CDTF">2025-04-25T18:51:58Z</dcterms:modified>
</cp:coreProperties>
</file>