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9_{EEE249E5-3680-FB4A-ABCA-9E11C5E35D67}" xr6:coauthVersionLast="47" xr6:coauthVersionMax="47" xr10:uidLastSave="{00000000-0000-0000-0000-000000000000}"/>
  <bookViews>
    <workbookView xWindow="7660" yWindow="960" windowWidth="27640" windowHeight="16940" xr2:uid="{043FBC53-FF63-564D-AEA9-A4B6EC33458B}"/>
  </bookViews>
  <sheets>
    <sheet name="SingleMultipleAccountsFixedCo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9" i="1" l="1"/>
  <c r="M559" i="1"/>
  <c r="N416" i="1"/>
  <c r="N364" i="1"/>
  <c r="M601" i="1"/>
  <c r="M600" i="1"/>
  <c r="M598" i="1"/>
  <c r="M597" i="1"/>
  <c r="M596" i="1"/>
  <c r="M595" i="1"/>
  <c r="M594" i="1"/>
  <c r="N608" i="1"/>
  <c r="K608" i="1"/>
  <c r="J602" i="1"/>
  <c r="J603" i="1" s="1"/>
  <c r="K603" i="1" s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K594" i="1"/>
  <c r="J594" i="1"/>
  <c r="L606" i="1"/>
  <c r="N568" i="1"/>
  <c r="K568" i="1"/>
  <c r="J562" i="1"/>
  <c r="J563" i="1" s="1"/>
  <c r="K563" i="1" s="1"/>
  <c r="L561" i="1"/>
  <c r="J561" i="1"/>
  <c r="M561" i="1" s="1"/>
  <c r="L560" i="1"/>
  <c r="J560" i="1"/>
  <c r="M560" i="1" s="1"/>
  <c r="L559" i="1"/>
  <c r="M566" i="1" s="1"/>
  <c r="J559" i="1"/>
  <c r="M558" i="1"/>
  <c r="L558" i="1"/>
  <c r="J558" i="1"/>
  <c r="L557" i="1"/>
  <c r="J557" i="1"/>
  <c r="M557" i="1" s="1"/>
  <c r="L556" i="1"/>
  <c r="L566" i="1" s="1"/>
  <c r="J556" i="1"/>
  <c r="M556" i="1" s="1"/>
  <c r="L555" i="1"/>
  <c r="M555" i="1" s="1"/>
  <c r="J555" i="1"/>
  <c r="L554" i="1"/>
  <c r="K554" i="1"/>
  <c r="J554" i="1"/>
  <c r="M554" i="1" s="1"/>
  <c r="N52" i="1"/>
  <c r="N104" i="1"/>
  <c r="N156" i="1"/>
  <c r="N208" i="1"/>
  <c r="N260" i="1"/>
  <c r="N312" i="1"/>
  <c r="N492" i="1"/>
  <c r="M485" i="1"/>
  <c r="M484" i="1"/>
  <c r="M483" i="1"/>
  <c r="M482" i="1"/>
  <c r="M481" i="1"/>
  <c r="M480" i="1"/>
  <c r="M479" i="1"/>
  <c r="M478" i="1"/>
  <c r="K492" i="1"/>
  <c r="J486" i="1"/>
  <c r="K486" i="1" s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K478" i="1"/>
  <c r="J478" i="1"/>
  <c r="L490" i="1"/>
  <c r="K416" i="1"/>
  <c r="J410" i="1"/>
  <c r="J414" i="1" s="1"/>
  <c r="L409" i="1"/>
  <c r="J409" i="1"/>
  <c r="M409" i="1" s="1"/>
  <c r="L408" i="1"/>
  <c r="J408" i="1"/>
  <c r="M408" i="1" s="1"/>
  <c r="L407" i="1"/>
  <c r="M414" i="1" s="1"/>
  <c r="J407" i="1"/>
  <c r="M407" i="1" s="1"/>
  <c r="M406" i="1"/>
  <c r="L406" i="1"/>
  <c r="J406" i="1"/>
  <c r="L405" i="1"/>
  <c r="J405" i="1"/>
  <c r="M405" i="1" s="1"/>
  <c r="L404" i="1"/>
  <c r="L414" i="1" s="1"/>
  <c r="J404" i="1"/>
  <c r="M404" i="1" s="1"/>
  <c r="L403" i="1"/>
  <c r="M403" i="1" s="1"/>
  <c r="J403" i="1"/>
  <c r="L402" i="1"/>
  <c r="K402" i="1"/>
  <c r="J402" i="1"/>
  <c r="M402" i="1" s="1"/>
  <c r="K364" i="1"/>
  <c r="K52" i="1"/>
  <c r="K104" i="1"/>
  <c r="K156" i="1"/>
  <c r="K208" i="1"/>
  <c r="K260" i="1"/>
  <c r="K312" i="1"/>
  <c r="J358" i="1"/>
  <c r="J362" i="1" s="1"/>
  <c r="L357" i="1"/>
  <c r="J357" i="1"/>
  <c r="M357" i="1" s="1"/>
  <c r="L356" i="1"/>
  <c r="J356" i="1"/>
  <c r="M356" i="1" s="1"/>
  <c r="L355" i="1"/>
  <c r="M362" i="1" s="1"/>
  <c r="J355" i="1"/>
  <c r="M355" i="1" s="1"/>
  <c r="M354" i="1"/>
  <c r="L354" i="1"/>
  <c r="J354" i="1"/>
  <c r="L353" i="1"/>
  <c r="J353" i="1"/>
  <c r="M353" i="1" s="1"/>
  <c r="L352" i="1"/>
  <c r="L362" i="1" s="1"/>
  <c r="J352" i="1"/>
  <c r="M352" i="1" s="1"/>
  <c r="L351" i="1"/>
  <c r="M351" i="1" s="1"/>
  <c r="J351" i="1"/>
  <c r="L350" i="1"/>
  <c r="K350" i="1"/>
  <c r="J350" i="1"/>
  <c r="M350" i="1" s="1"/>
  <c r="J306" i="1"/>
  <c r="J310" i="1" s="1"/>
  <c r="L305" i="1"/>
  <c r="J305" i="1"/>
  <c r="M305" i="1" s="1"/>
  <c r="L304" i="1"/>
  <c r="J304" i="1"/>
  <c r="M304" i="1" s="1"/>
  <c r="L303" i="1"/>
  <c r="M310" i="1" s="1"/>
  <c r="J303" i="1"/>
  <c r="M303" i="1" s="1"/>
  <c r="M302" i="1"/>
  <c r="L302" i="1"/>
  <c r="J302" i="1"/>
  <c r="L301" i="1"/>
  <c r="J301" i="1"/>
  <c r="M301" i="1" s="1"/>
  <c r="L300" i="1"/>
  <c r="L310" i="1" s="1"/>
  <c r="J300" i="1"/>
  <c r="M300" i="1" s="1"/>
  <c r="L299" i="1"/>
  <c r="M299" i="1" s="1"/>
  <c r="J299" i="1"/>
  <c r="L298" i="1"/>
  <c r="K298" i="1"/>
  <c r="J298" i="1"/>
  <c r="M298" i="1" s="1"/>
  <c r="J254" i="1"/>
  <c r="J255" i="1" s="1"/>
  <c r="K255" i="1" s="1"/>
  <c r="L253" i="1"/>
  <c r="J253" i="1"/>
  <c r="M253" i="1" s="1"/>
  <c r="L252" i="1"/>
  <c r="J252" i="1"/>
  <c r="M252" i="1" s="1"/>
  <c r="L251" i="1"/>
  <c r="M258" i="1" s="1"/>
  <c r="J251" i="1"/>
  <c r="M251" i="1" s="1"/>
  <c r="M250" i="1"/>
  <c r="L250" i="1"/>
  <c r="J250" i="1"/>
  <c r="L249" i="1"/>
  <c r="J249" i="1"/>
  <c r="M249" i="1" s="1"/>
  <c r="L248" i="1"/>
  <c r="L258" i="1" s="1"/>
  <c r="J248" i="1"/>
  <c r="M248" i="1" s="1"/>
  <c r="L247" i="1"/>
  <c r="M247" i="1" s="1"/>
  <c r="J247" i="1"/>
  <c r="L246" i="1"/>
  <c r="K246" i="1"/>
  <c r="J246" i="1"/>
  <c r="M246" i="1" s="1"/>
  <c r="J202" i="1"/>
  <c r="K202" i="1" s="1"/>
  <c r="L201" i="1"/>
  <c r="J201" i="1"/>
  <c r="M201" i="1" s="1"/>
  <c r="L200" i="1"/>
  <c r="J200" i="1"/>
  <c r="M200" i="1" s="1"/>
  <c r="L199" i="1"/>
  <c r="M206" i="1" s="1"/>
  <c r="J199" i="1"/>
  <c r="M199" i="1" s="1"/>
  <c r="M198" i="1"/>
  <c r="L198" i="1"/>
  <c r="J198" i="1"/>
  <c r="L197" i="1"/>
  <c r="J197" i="1"/>
  <c r="M197" i="1" s="1"/>
  <c r="L196" i="1"/>
  <c r="L206" i="1" s="1"/>
  <c r="J196" i="1"/>
  <c r="M196" i="1" s="1"/>
  <c r="L195" i="1"/>
  <c r="M195" i="1" s="1"/>
  <c r="J195" i="1"/>
  <c r="L194" i="1"/>
  <c r="K194" i="1"/>
  <c r="J194" i="1"/>
  <c r="M194" i="1" s="1"/>
  <c r="J150" i="1"/>
  <c r="J154" i="1" s="1"/>
  <c r="L149" i="1"/>
  <c r="J149" i="1"/>
  <c r="M149" i="1" s="1"/>
  <c r="L148" i="1"/>
  <c r="J148" i="1"/>
  <c r="M148" i="1" s="1"/>
  <c r="L147" i="1"/>
  <c r="M154" i="1" s="1"/>
  <c r="J147" i="1"/>
  <c r="M147" i="1" s="1"/>
  <c r="M146" i="1"/>
  <c r="L146" i="1"/>
  <c r="J146" i="1"/>
  <c r="L145" i="1"/>
  <c r="J145" i="1"/>
  <c r="M145" i="1" s="1"/>
  <c r="L144" i="1"/>
  <c r="L154" i="1" s="1"/>
  <c r="J144" i="1"/>
  <c r="M144" i="1" s="1"/>
  <c r="L143" i="1"/>
  <c r="M143" i="1" s="1"/>
  <c r="J143" i="1"/>
  <c r="L142" i="1"/>
  <c r="K142" i="1"/>
  <c r="J142" i="1"/>
  <c r="M142" i="1" s="1"/>
  <c r="M97" i="1"/>
  <c r="M96" i="1"/>
  <c r="M95" i="1"/>
  <c r="M94" i="1"/>
  <c r="M93" i="1"/>
  <c r="M92" i="1"/>
  <c r="M91" i="1"/>
  <c r="M90" i="1"/>
  <c r="J98" i="1"/>
  <c r="K98" i="1" s="1"/>
  <c r="L97" i="1"/>
  <c r="J97" i="1"/>
  <c r="L96" i="1"/>
  <c r="J96" i="1"/>
  <c r="L95" i="1"/>
  <c r="M102" i="1" s="1"/>
  <c r="J95" i="1"/>
  <c r="L94" i="1"/>
  <c r="J94" i="1"/>
  <c r="L93" i="1"/>
  <c r="J93" i="1"/>
  <c r="L92" i="1"/>
  <c r="L102" i="1" s="1"/>
  <c r="J92" i="1"/>
  <c r="L91" i="1"/>
  <c r="J91" i="1"/>
  <c r="L90" i="1"/>
  <c r="K90" i="1"/>
  <c r="J90" i="1"/>
  <c r="J38" i="1"/>
  <c r="K38" i="1"/>
  <c r="M606" i="1" l="1"/>
  <c r="J606" i="1"/>
  <c r="O606" i="1" s="1"/>
  <c r="K602" i="1"/>
  <c r="K562" i="1"/>
  <c r="J566" i="1"/>
  <c r="O566" i="1" s="1"/>
  <c r="M490" i="1"/>
  <c r="J487" i="1"/>
  <c r="K487" i="1" s="1"/>
  <c r="J490" i="1"/>
  <c r="O490" i="1" s="1"/>
  <c r="O414" i="1"/>
  <c r="K410" i="1"/>
  <c r="J411" i="1"/>
  <c r="K411" i="1" s="1"/>
  <c r="O362" i="1"/>
  <c r="J359" i="1"/>
  <c r="K359" i="1" s="1"/>
  <c r="K358" i="1"/>
  <c r="O310" i="1"/>
  <c r="K306" i="1"/>
  <c r="J307" i="1"/>
  <c r="K307" i="1" s="1"/>
  <c r="K254" i="1"/>
  <c r="J258" i="1"/>
  <c r="O258" i="1" s="1"/>
  <c r="J203" i="1"/>
  <c r="K203" i="1" s="1"/>
  <c r="J206" i="1"/>
  <c r="O206" i="1" s="1"/>
  <c r="O154" i="1"/>
  <c r="K150" i="1"/>
  <c r="J151" i="1"/>
  <c r="K151" i="1" s="1"/>
  <c r="J99" i="1"/>
  <c r="K99" i="1" s="1"/>
  <c r="J102" i="1"/>
  <c r="O102" i="1" s="1"/>
  <c r="J46" i="1"/>
  <c r="L45" i="1"/>
  <c r="J45" i="1"/>
  <c r="L44" i="1"/>
  <c r="J44" i="1"/>
  <c r="M44" i="1" s="1"/>
  <c r="L43" i="1"/>
  <c r="J43" i="1"/>
  <c r="M43" i="1" s="1"/>
  <c r="L42" i="1"/>
  <c r="M50" i="1" s="1"/>
  <c r="J42" i="1"/>
  <c r="M42" i="1" s="1"/>
  <c r="L41" i="1"/>
  <c r="M41" i="1" s="1"/>
  <c r="J41" i="1"/>
  <c r="L40" i="1"/>
  <c r="J40" i="1"/>
  <c r="L39" i="1"/>
  <c r="J39" i="1"/>
  <c r="L38" i="1"/>
  <c r="J47" i="1"/>
  <c r="K47" i="1" s="1"/>
  <c r="M45" i="1"/>
  <c r="M40" i="1"/>
  <c r="M39" i="1"/>
  <c r="M38" i="1"/>
  <c r="L50" i="1" l="1"/>
  <c r="K46" i="1"/>
  <c r="J50" i="1"/>
  <c r="O50" i="1" s="1"/>
</calcChain>
</file>

<file path=xl/sharedStrings.xml><?xml version="1.0" encoding="utf-8"?>
<sst xmlns="http://schemas.openxmlformats.org/spreadsheetml/2006/main" count="2460" uniqueCount="185">
  <si>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</si>
  <si>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</si>
  <si>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</si>
  <si>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</si>
  <si>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</si>
  <si>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</si>
  <si>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</si>
  <si>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Withdraw</t>
  </si>
  <si>
    <t>IRA</t>
  </si>
  <si>
    <t>Monthly ROTH conversion</t>
  </si>
  <si>
    <t>Deposit</t>
  </si>
  <si>
    <t>Roth</t>
  </si>
  <si>
    <t>Payment</t>
  </si>
  <si>
    <t>Savings</t>
  </si>
  <si>
    <t>Federal Income taxes for Self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</si>
  <si>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</si>
  <si>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</si>
  <si>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</si>
  <si>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</si>
  <si>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</si>
  <si>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</si>
  <si>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</si>
  <si>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</si>
  <si>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</si>
  <si>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</si>
  <si>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</si>
  <si>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</si>
  <si>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</si>
  <si>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</si>
  <si>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Savings2</t>
  </si>
  <si>
    <t>Brokerage</t>
  </si>
  <si>
    <t>Brokerage2</t>
  </si>
  <si>
    <t>IRA2</t>
  </si>
  <si>
    <t>Roth2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</si>
  <si>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</si>
  <si>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</si>
  <si>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</si>
  <si>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</si>
  <si>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</si>
  <si>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</si>
  <si>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</si>
  <si>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</si>
  <si>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</si>
  <si>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</si>
  <si>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</si>
  <si>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</si>
  <si>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</si>
  <si>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</si>
  <si>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</si>
  <si>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</si>
  <si>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</si>
  <si>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</si>
  <si>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</si>
  <si>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</si>
  <si>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</si>
  <si>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</si>
  <si>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</si>
  <si>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</si>
  <si>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</si>
  <si>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</si>
  <si>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</si>
  <si>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</si>
  <si>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</si>
  <si>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</si>
  <si>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</si>
  <si>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</si>
  <si>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</si>
  <si>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</si>
  <si>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</si>
  <si>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</si>
  <si>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</si>
  <si>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</si>
  <si>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</si>
  <si>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</si>
  <si>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</si>
  <si>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</si>
  <si>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</si>
  <si>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</si>
  <si>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</si>
  <si>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</si>
  <si>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</si>
  <si>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</si>
  <si>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</si>
  <si>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</si>
  <si>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</si>
  <si>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</si>
  <si>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</si>
  <si>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</si>
  <si>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</si>
  <si>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</si>
  <si>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</si>
  <si>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</si>
  <si>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</si>
  <si>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</si>
  <si>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</si>
  <si>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</si>
  <si>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</si>
  <si>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</si>
  <si>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</si>
  <si>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</si>
  <si>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</si>
  <si>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</si>
  <si>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</si>
  <si>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</si>
  <si>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</si>
  <si>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</si>
  <si>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</si>
  <si>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</si>
  <si>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</si>
  <si>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</si>
  <si>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</si>
  <si>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</si>
  <si>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</si>
  <si>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</si>
  <si>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</si>
  <si>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</si>
  <si>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</si>
  <si>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</si>
  <si>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</si>
  <si>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</si>
  <si>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</si>
  <si>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</si>
  <si>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</si>
  <si>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</si>
  <si>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</si>
  <si>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</si>
  <si>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</si>
  <si>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</si>
  <si>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</si>
  <si>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</si>
  <si>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</si>
  <si>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</si>
  <si>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</si>
  <si>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</si>
  <si>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</si>
  <si>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</si>
  <si>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</si>
  <si>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</si>
  <si>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</si>
  <si>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</si>
  <si>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</si>
  <si>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</si>
  <si>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</si>
  <si>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RMD Withdraw</t>
  </si>
  <si>
    <t>RMD fully allocated into long-term investments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</si>
  <si>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</si>
  <si>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</si>
  <si>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</si>
  <si>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</si>
  <si>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</si>
  <si>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</si>
  <si>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</si>
  <si>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</si>
  <si>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</si>
  <si>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</si>
  <si>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</si>
  <si>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</si>
  <si>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</si>
  <si>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</si>
  <si>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</si>
  <si>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</si>
  <si>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</si>
  <si>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</si>
  <si>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</si>
  <si>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</si>
  <si>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</si>
  <si>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</si>
  <si>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</si>
  <si>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</si>
  <si>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</si>
  <si>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</si>
  <si>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</si>
  <si>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</si>
  <si>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</si>
  <si>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</si>
  <si>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</si>
  <si>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</si>
  <si>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</si>
  <si>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</si>
  <si>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</si>
  <si>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</si>
  <si>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</si>
  <si>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</si>
  <si>
    <t>Converted</t>
  </si>
  <si>
    <t>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</si>
</sst>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F1F8-AB8B-4C4A-87D7-6BC7818ECEEE}">
  <dimension ref="A1:O609"/>
  <sheetViews>
    <sheetView tabSelected="1" topLeftCell="A471" workbookViewId="0">
      <selection activeCell="M600" sqref="M60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2000</v>
      </c>
      <c r="E2">
        <v>118000</v>
      </c>
      <c r="F2" t="s">
        <v>9</v>
      </c>
    </row>
    <row r="3" spans="1:6" x14ac:dyDescent="0.2">
      <c r="A3" t="s">
        <v>6</v>
      </c>
      <c r="B3" t="s">
        <v>10</v>
      </c>
      <c r="C3" t="s">
        <v>11</v>
      </c>
      <c r="D3">
        <v>2000</v>
      </c>
      <c r="E3">
        <v>12000</v>
      </c>
      <c r="F3" t="s">
        <v>9</v>
      </c>
    </row>
    <row r="4" spans="1:6" x14ac:dyDescent="0.2">
      <c r="A4" t="s">
        <v>6</v>
      </c>
      <c r="B4" t="s">
        <v>12</v>
      </c>
      <c r="C4" t="s">
        <v>13</v>
      </c>
      <c r="D4">
        <v>65.42</v>
      </c>
      <c r="E4">
        <v>119934.58</v>
      </c>
      <c r="F4" t="s">
        <v>14</v>
      </c>
    </row>
    <row r="5" spans="1:6" x14ac:dyDescent="0.2">
      <c r="A5" t="s">
        <v>15</v>
      </c>
      <c r="B5" t="s">
        <v>7</v>
      </c>
      <c r="C5" t="s">
        <v>8</v>
      </c>
      <c r="D5">
        <v>2000</v>
      </c>
      <c r="E5">
        <v>116000</v>
      </c>
      <c r="F5" t="s">
        <v>9</v>
      </c>
    </row>
    <row r="6" spans="1:6" x14ac:dyDescent="0.2">
      <c r="A6" t="s">
        <v>15</v>
      </c>
      <c r="B6" t="s">
        <v>10</v>
      </c>
      <c r="C6" t="s">
        <v>11</v>
      </c>
      <c r="D6">
        <v>2000</v>
      </c>
      <c r="E6">
        <v>14000</v>
      </c>
      <c r="F6" t="s">
        <v>9</v>
      </c>
    </row>
    <row r="7" spans="1:6" x14ac:dyDescent="0.2">
      <c r="A7" t="s">
        <v>15</v>
      </c>
      <c r="B7" t="s">
        <v>12</v>
      </c>
      <c r="C7" t="s">
        <v>13</v>
      </c>
      <c r="D7">
        <v>65.42</v>
      </c>
      <c r="E7">
        <v>119869.16</v>
      </c>
      <c r="F7" t="s">
        <v>14</v>
      </c>
    </row>
    <row r="8" spans="1:6" x14ac:dyDescent="0.2">
      <c r="A8" t="s">
        <v>16</v>
      </c>
      <c r="B8" t="s">
        <v>7</v>
      </c>
      <c r="C8" t="s">
        <v>8</v>
      </c>
      <c r="D8">
        <v>2000</v>
      </c>
      <c r="E8">
        <v>114000</v>
      </c>
      <c r="F8" t="s">
        <v>9</v>
      </c>
    </row>
    <row r="9" spans="1:6" x14ac:dyDescent="0.2">
      <c r="A9" t="s">
        <v>16</v>
      </c>
      <c r="B9" t="s">
        <v>10</v>
      </c>
      <c r="C9" t="s">
        <v>11</v>
      </c>
      <c r="D9">
        <v>2000</v>
      </c>
      <c r="E9">
        <v>16000</v>
      </c>
      <c r="F9" t="s">
        <v>9</v>
      </c>
    </row>
    <row r="10" spans="1:6" x14ac:dyDescent="0.2">
      <c r="A10" t="s">
        <v>16</v>
      </c>
      <c r="B10" t="s">
        <v>12</v>
      </c>
      <c r="C10" t="s">
        <v>13</v>
      </c>
      <c r="D10">
        <v>65.42</v>
      </c>
      <c r="E10">
        <v>119803.74</v>
      </c>
      <c r="F10" t="s">
        <v>14</v>
      </c>
    </row>
    <row r="11" spans="1:6" x14ac:dyDescent="0.2">
      <c r="A11" t="s">
        <v>17</v>
      </c>
      <c r="B11" t="s">
        <v>7</v>
      </c>
      <c r="C11" t="s">
        <v>8</v>
      </c>
      <c r="D11">
        <v>2000</v>
      </c>
      <c r="E11">
        <v>112000</v>
      </c>
      <c r="F11" t="s">
        <v>9</v>
      </c>
    </row>
    <row r="12" spans="1:6" x14ac:dyDescent="0.2">
      <c r="A12" t="s">
        <v>17</v>
      </c>
      <c r="B12" t="s">
        <v>10</v>
      </c>
      <c r="C12" t="s">
        <v>11</v>
      </c>
      <c r="D12">
        <v>2000</v>
      </c>
      <c r="E12">
        <v>18000</v>
      </c>
      <c r="F12" t="s">
        <v>9</v>
      </c>
    </row>
    <row r="13" spans="1:6" x14ac:dyDescent="0.2">
      <c r="A13" t="s">
        <v>17</v>
      </c>
      <c r="B13" t="s">
        <v>12</v>
      </c>
      <c r="C13" t="s">
        <v>13</v>
      </c>
      <c r="D13">
        <v>65.42</v>
      </c>
      <c r="E13">
        <v>119738.32</v>
      </c>
      <c r="F13" t="s">
        <v>14</v>
      </c>
    </row>
    <row r="14" spans="1:6" x14ac:dyDescent="0.2">
      <c r="A14" t="s">
        <v>18</v>
      </c>
      <c r="B14" t="s">
        <v>7</v>
      </c>
      <c r="C14" t="s">
        <v>8</v>
      </c>
      <c r="D14">
        <v>2000</v>
      </c>
      <c r="E14">
        <v>110000</v>
      </c>
      <c r="F14" t="s">
        <v>9</v>
      </c>
    </row>
    <row r="15" spans="1:6" x14ac:dyDescent="0.2">
      <c r="A15" t="s">
        <v>18</v>
      </c>
      <c r="B15" t="s">
        <v>10</v>
      </c>
      <c r="C15" t="s">
        <v>11</v>
      </c>
      <c r="D15">
        <v>2000</v>
      </c>
      <c r="E15">
        <v>20000</v>
      </c>
      <c r="F15" t="s">
        <v>9</v>
      </c>
    </row>
    <row r="16" spans="1:6" x14ac:dyDescent="0.2">
      <c r="A16" t="s">
        <v>18</v>
      </c>
      <c r="B16" t="s">
        <v>12</v>
      </c>
      <c r="C16" t="s">
        <v>13</v>
      </c>
      <c r="D16">
        <v>65.41</v>
      </c>
      <c r="E16">
        <v>119672.91</v>
      </c>
      <c r="F16" t="s">
        <v>14</v>
      </c>
    </row>
    <row r="17" spans="1:6" x14ac:dyDescent="0.2">
      <c r="A17" t="s">
        <v>19</v>
      </c>
      <c r="B17" t="s">
        <v>7</v>
      </c>
      <c r="C17" t="s">
        <v>8</v>
      </c>
      <c r="D17">
        <v>2000</v>
      </c>
      <c r="E17">
        <v>108000</v>
      </c>
      <c r="F17" t="s">
        <v>9</v>
      </c>
    </row>
    <row r="18" spans="1:6" x14ac:dyDescent="0.2">
      <c r="A18" t="s">
        <v>19</v>
      </c>
      <c r="B18" t="s">
        <v>10</v>
      </c>
      <c r="C18" t="s">
        <v>11</v>
      </c>
      <c r="D18">
        <v>2000</v>
      </c>
      <c r="E18">
        <v>22000</v>
      </c>
      <c r="F18" t="s">
        <v>9</v>
      </c>
    </row>
    <row r="19" spans="1:6" x14ac:dyDescent="0.2">
      <c r="A19" t="s">
        <v>19</v>
      </c>
      <c r="B19" t="s">
        <v>12</v>
      </c>
      <c r="C19" t="s">
        <v>13</v>
      </c>
      <c r="D19">
        <v>65.42</v>
      </c>
      <c r="E19">
        <v>119607.49</v>
      </c>
      <c r="F19" t="s">
        <v>14</v>
      </c>
    </row>
    <row r="20" spans="1:6" x14ac:dyDescent="0.2">
      <c r="A20" t="s">
        <v>20</v>
      </c>
      <c r="B20" t="s">
        <v>7</v>
      </c>
      <c r="C20" t="s">
        <v>8</v>
      </c>
      <c r="D20">
        <v>2000</v>
      </c>
      <c r="E20">
        <v>106000</v>
      </c>
      <c r="F20" t="s">
        <v>9</v>
      </c>
    </row>
    <row r="21" spans="1:6" x14ac:dyDescent="0.2">
      <c r="A21" t="s">
        <v>20</v>
      </c>
      <c r="B21" t="s">
        <v>10</v>
      </c>
      <c r="C21" t="s">
        <v>11</v>
      </c>
      <c r="D21">
        <v>2000</v>
      </c>
      <c r="E21">
        <v>24000</v>
      </c>
      <c r="F21" t="s">
        <v>9</v>
      </c>
    </row>
    <row r="22" spans="1:6" x14ac:dyDescent="0.2">
      <c r="A22" t="s">
        <v>20</v>
      </c>
      <c r="B22" t="s">
        <v>12</v>
      </c>
      <c r="C22" t="s">
        <v>13</v>
      </c>
      <c r="D22">
        <v>65.41</v>
      </c>
      <c r="E22">
        <v>119542.08</v>
      </c>
      <c r="F22" t="s">
        <v>14</v>
      </c>
    </row>
    <row r="23" spans="1:6" x14ac:dyDescent="0.2">
      <c r="A23" t="s">
        <v>21</v>
      </c>
      <c r="B23" t="s">
        <v>7</v>
      </c>
      <c r="C23" t="s">
        <v>8</v>
      </c>
      <c r="D23">
        <v>2000</v>
      </c>
      <c r="E23">
        <v>104000</v>
      </c>
      <c r="F23" t="s">
        <v>9</v>
      </c>
    </row>
    <row r="24" spans="1:6" x14ac:dyDescent="0.2">
      <c r="A24" t="s">
        <v>21</v>
      </c>
      <c r="B24" t="s">
        <v>10</v>
      </c>
      <c r="C24" t="s">
        <v>11</v>
      </c>
      <c r="D24">
        <v>2000</v>
      </c>
      <c r="E24">
        <v>26000</v>
      </c>
      <c r="F24" t="s">
        <v>9</v>
      </c>
    </row>
    <row r="25" spans="1:6" x14ac:dyDescent="0.2">
      <c r="A25" t="s">
        <v>21</v>
      </c>
      <c r="B25" t="s">
        <v>12</v>
      </c>
      <c r="C25" t="s">
        <v>13</v>
      </c>
      <c r="D25">
        <v>65.41</v>
      </c>
      <c r="E25">
        <v>119476.67</v>
      </c>
      <c r="F25" t="s">
        <v>14</v>
      </c>
    </row>
    <row r="26" spans="1:6" x14ac:dyDescent="0.2">
      <c r="A26" t="s">
        <v>22</v>
      </c>
      <c r="B26" t="s">
        <v>7</v>
      </c>
      <c r="C26" t="s">
        <v>8</v>
      </c>
      <c r="D26">
        <v>2000</v>
      </c>
      <c r="E26">
        <v>102000</v>
      </c>
      <c r="F26" t="s">
        <v>9</v>
      </c>
    </row>
    <row r="27" spans="1:6" x14ac:dyDescent="0.2">
      <c r="A27" t="s">
        <v>22</v>
      </c>
      <c r="B27" t="s">
        <v>10</v>
      </c>
      <c r="C27" t="s">
        <v>11</v>
      </c>
      <c r="D27">
        <v>2000</v>
      </c>
      <c r="E27">
        <v>28000</v>
      </c>
      <c r="F27" t="s">
        <v>9</v>
      </c>
    </row>
    <row r="28" spans="1:6" x14ac:dyDescent="0.2">
      <c r="A28" t="s">
        <v>22</v>
      </c>
      <c r="B28" t="s">
        <v>12</v>
      </c>
      <c r="C28" t="s">
        <v>13</v>
      </c>
      <c r="D28">
        <v>65.41</v>
      </c>
      <c r="E28">
        <v>119411.26</v>
      </c>
      <c r="F28" t="s">
        <v>14</v>
      </c>
    </row>
    <row r="29" spans="1:6" x14ac:dyDescent="0.2">
      <c r="A29" t="s">
        <v>23</v>
      </c>
      <c r="B29" t="s">
        <v>7</v>
      </c>
      <c r="C29" t="s">
        <v>8</v>
      </c>
      <c r="D29">
        <v>2000</v>
      </c>
      <c r="E29">
        <v>100000</v>
      </c>
      <c r="F29" t="s">
        <v>9</v>
      </c>
    </row>
    <row r="30" spans="1:6" x14ac:dyDescent="0.2">
      <c r="A30" t="s">
        <v>23</v>
      </c>
      <c r="B30" t="s">
        <v>10</v>
      </c>
      <c r="C30" t="s">
        <v>11</v>
      </c>
      <c r="D30">
        <v>2000</v>
      </c>
      <c r="E30">
        <v>30000</v>
      </c>
      <c r="F30" t="s">
        <v>9</v>
      </c>
    </row>
    <row r="31" spans="1:6" x14ac:dyDescent="0.2">
      <c r="A31" t="s">
        <v>23</v>
      </c>
      <c r="B31" t="s">
        <v>12</v>
      </c>
      <c r="C31" t="s">
        <v>13</v>
      </c>
      <c r="D31">
        <v>65.41</v>
      </c>
      <c r="E31">
        <v>119345.85</v>
      </c>
      <c r="F31" t="s">
        <v>14</v>
      </c>
    </row>
    <row r="32" spans="1:6" x14ac:dyDescent="0.2">
      <c r="A32" t="s">
        <v>24</v>
      </c>
      <c r="B32" t="s">
        <v>7</v>
      </c>
      <c r="C32" t="s">
        <v>8</v>
      </c>
      <c r="D32">
        <v>2000</v>
      </c>
      <c r="E32">
        <v>98000</v>
      </c>
      <c r="F32" t="s">
        <v>9</v>
      </c>
    </row>
    <row r="33" spans="1:13" x14ac:dyDescent="0.2">
      <c r="A33" t="s">
        <v>24</v>
      </c>
      <c r="B33" t="s">
        <v>10</v>
      </c>
      <c r="C33" t="s">
        <v>11</v>
      </c>
      <c r="D33">
        <v>2000</v>
      </c>
      <c r="E33">
        <v>32000</v>
      </c>
      <c r="F33" t="s">
        <v>9</v>
      </c>
    </row>
    <row r="34" spans="1:13" x14ac:dyDescent="0.2">
      <c r="A34" t="s">
        <v>24</v>
      </c>
      <c r="B34" t="s">
        <v>12</v>
      </c>
      <c r="C34" t="s">
        <v>13</v>
      </c>
      <c r="D34">
        <v>65.41</v>
      </c>
      <c r="E34">
        <v>119280.44</v>
      </c>
      <c r="F34" t="s">
        <v>14</v>
      </c>
    </row>
    <row r="35" spans="1:13" x14ac:dyDescent="0.2">
      <c r="A35" t="s">
        <v>25</v>
      </c>
      <c r="B35" t="s">
        <v>7</v>
      </c>
      <c r="C35" t="s">
        <v>8</v>
      </c>
      <c r="D35">
        <v>2000</v>
      </c>
      <c r="E35">
        <v>96000</v>
      </c>
      <c r="F35" t="s">
        <v>9</v>
      </c>
    </row>
    <row r="36" spans="1:13" x14ac:dyDescent="0.2">
      <c r="A36" t="s">
        <v>25</v>
      </c>
      <c r="B36" t="s">
        <v>10</v>
      </c>
      <c r="C36" t="s">
        <v>11</v>
      </c>
      <c r="D36">
        <v>2000</v>
      </c>
      <c r="E36">
        <v>34000</v>
      </c>
      <c r="F36" t="s">
        <v>9</v>
      </c>
    </row>
    <row r="37" spans="1:13" x14ac:dyDescent="0.2">
      <c r="A37" t="s">
        <v>25</v>
      </c>
      <c r="B37" t="s">
        <v>12</v>
      </c>
      <c r="C37" t="s">
        <v>13</v>
      </c>
      <c r="D37">
        <v>65.44</v>
      </c>
      <c r="E37">
        <v>119215</v>
      </c>
      <c r="F37" t="s">
        <v>14</v>
      </c>
    </row>
    <row r="38" spans="1:13" x14ac:dyDescent="0.2">
      <c r="A38" t="s">
        <v>26</v>
      </c>
      <c r="B38" t="s">
        <v>27</v>
      </c>
      <c r="C38" t="s">
        <v>13</v>
      </c>
      <c r="E38">
        <v>119215</v>
      </c>
      <c r="F38" t="s">
        <v>28</v>
      </c>
      <c r="J38">
        <f>SUMIFS(D2:D37,B2:B37,"Deposit",C2:C37,"Savings")</f>
        <v>0</v>
      </c>
      <c r="K38">
        <f>SUMIFS(D2:D37,B2:B37,"Payment",C2:C37,"Savings")</f>
        <v>785</v>
      </c>
      <c r="L38">
        <f>SUMIFS(D2:D37,B2:B37,"Withdraw",C2:C37,"Savings")</f>
        <v>0</v>
      </c>
      <c r="M38">
        <f t="shared" ref="M38:M43" si="0">120000+J38-K38-L38</f>
        <v>119215</v>
      </c>
    </row>
    <row r="39" spans="1:13" x14ac:dyDescent="0.2">
      <c r="A39" t="s">
        <v>26</v>
      </c>
      <c r="B39" t="s">
        <v>27</v>
      </c>
      <c r="C39" t="s">
        <v>29</v>
      </c>
      <c r="E39">
        <v>120000</v>
      </c>
      <c r="F39" t="s">
        <v>28</v>
      </c>
      <c r="J39">
        <f>SUMIFS(D2:D37,B2:B37,"Deposit",C2:C37,"Savings2")</f>
        <v>0</v>
      </c>
      <c r="L39">
        <f>SUMIFS(D2:D37,B2:B37,"Withdraw",C2:C37,"Savings2")</f>
        <v>0</v>
      </c>
      <c r="M39">
        <f t="shared" si="0"/>
        <v>120000</v>
      </c>
    </row>
    <row r="40" spans="1:13" x14ac:dyDescent="0.2">
      <c r="A40" t="s">
        <v>26</v>
      </c>
      <c r="B40" t="s">
        <v>27</v>
      </c>
      <c r="C40" t="s">
        <v>30</v>
      </c>
      <c r="E40">
        <v>120000</v>
      </c>
      <c r="F40" t="s">
        <v>28</v>
      </c>
      <c r="J40">
        <f>SUMIFS(D2:D37,B2:B37,"Deposit",C2:C37,"Brokerage")</f>
        <v>0</v>
      </c>
      <c r="L40">
        <f>SUMIFS(D2:D37,B2:B37,"Withdraw",C2:C37,"Brokerage")</f>
        <v>0</v>
      </c>
      <c r="M40">
        <f t="shared" si="0"/>
        <v>120000</v>
      </c>
    </row>
    <row r="41" spans="1:13" x14ac:dyDescent="0.2">
      <c r="A41" t="s">
        <v>26</v>
      </c>
      <c r="B41" t="s">
        <v>27</v>
      </c>
      <c r="C41" t="s">
        <v>31</v>
      </c>
      <c r="E41">
        <v>120000</v>
      </c>
      <c r="F41" t="s">
        <v>28</v>
      </c>
      <c r="J41">
        <f>SUMIFS(D2:D37,B2:B37,"Deposit",C2:C37,"Brokerage2")</f>
        <v>0</v>
      </c>
      <c r="L41">
        <f>SUMIFS(D2:D37,B2:B37,"Withdraw",C2:C37,"Brokerage2")</f>
        <v>0</v>
      </c>
      <c r="M41">
        <f t="shared" si="0"/>
        <v>120000</v>
      </c>
    </row>
    <row r="42" spans="1:13" x14ac:dyDescent="0.2">
      <c r="A42" t="s">
        <v>26</v>
      </c>
      <c r="B42" t="s">
        <v>27</v>
      </c>
      <c r="C42" t="s">
        <v>8</v>
      </c>
      <c r="E42">
        <v>96000</v>
      </c>
      <c r="F42" t="s">
        <v>28</v>
      </c>
      <c r="J42">
        <f>SUMIFS(D2:D37,B2:B37,"Deposit",C2:C37,"IRA")</f>
        <v>0</v>
      </c>
      <c r="L42">
        <f>SUMIFS(D2:D37,B2:B37,"Withdraw",C2:C37,"IRA")</f>
        <v>24000</v>
      </c>
      <c r="M42">
        <f t="shared" si="0"/>
        <v>96000</v>
      </c>
    </row>
    <row r="43" spans="1:13" x14ac:dyDescent="0.2">
      <c r="A43" t="s">
        <v>26</v>
      </c>
      <c r="B43" t="s">
        <v>27</v>
      </c>
      <c r="C43" t="s">
        <v>32</v>
      </c>
      <c r="E43">
        <v>120000</v>
      </c>
      <c r="F43" t="s">
        <v>28</v>
      </c>
      <c r="J43">
        <f>SUMIFS(D2:D37,B2:B37,"Deposit",C2:C37,"IRA2")</f>
        <v>0</v>
      </c>
      <c r="L43">
        <f>SUMIFS(D2:D37,B2:B37,"Withdraw",C2:C37,"IRA2")</f>
        <v>0</v>
      </c>
      <c r="M43">
        <f t="shared" si="0"/>
        <v>120000</v>
      </c>
    </row>
    <row r="44" spans="1:13" x14ac:dyDescent="0.2">
      <c r="A44" t="s">
        <v>26</v>
      </c>
      <c r="B44" t="s">
        <v>27</v>
      </c>
      <c r="C44" t="s">
        <v>11</v>
      </c>
      <c r="E44">
        <v>34000</v>
      </c>
      <c r="F44" t="s">
        <v>28</v>
      </c>
      <c r="J44">
        <f>SUMIFS(D2:D37,B2:B37,"Deposit",C2:C37,"Roth")</f>
        <v>24000</v>
      </c>
      <c r="L44">
        <f>SUMIFS(D2:D37,B2:B37,"Withdraw",C2:C37,"Roth")</f>
        <v>0</v>
      </c>
      <c r="M44">
        <f>10000+J44-K44-L44</f>
        <v>34000</v>
      </c>
    </row>
    <row r="45" spans="1:13" x14ac:dyDescent="0.2">
      <c r="A45" t="s">
        <v>26</v>
      </c>
      <c r="B45" t="s">
        <v>27</v>
      </c>
      <c r="C45" t="s">
        <v>33</v>
      </c>
      <c r="E45">
        <v>10000</v>
      </c>
      <c r="F45" t="s">
        <v>28</v>
      </c>
      <c r="J45">
        <f>SUMIFS(D2:D37,B2:B37,"Deposit",C2:C37,"Roth2")</f>
        <v>0</v>
      </c>
      <c r="L45">
        <f>SUMIFS(D2:D37,B2:B37,"Withdraw",C2:C37,"Roth2")</f>
        <v>0</v>
      </c>
      <c r="M45">
        <f>10000+J45-K45-L45</f>
        <v>10000</v>
      </c>
    </row>
    <row r="46" spans="1:13" x14ac:dyDescent="0.2">
      <c r="A46" t="s">
        <v>26</v>
      </c>
      <c r="B46" t="s">
        <v>34</v>
      </c>
      <c r="C46" t="s">
        <v>35</v>
      </c>
      <c r="E46">
        <v>0</v>
      </c>
      <c r="F46" t="s">
        <v>36</v>
      </c>
      <c r="J46">
        <f>SUMIFS(D2:D37,C2:C37,"Savings",B2:B37,"Deposit",F2:F37,"=*income*")</f>
        <v>0</v>
      </c>
      <c r="K46">
        <f>J46*6.2%</f>
        <v>0</v>
      </c>
    </row>
    <row r="47" spans="1:13" x14ac:dyDescent="0.2">
      <c r="A47" t="s">
        <v>26</v>
      </c>
      <c r="B47" t="s">
        <v>34</v>
      </c>
      <c r="C47" t="s">
        <v>37</v>
      </c>
      <c r="E47">
        <v>0</v>
      </c>
      <c r="F47" t="s">
        <v>38</v>
      </c>
      <c r="J47">
        <f>J46</f>
        <v>0</v>
      </c>
      <c r="K47">
        <f>J47*1.45%</f>
        <v>0</v>
      </c>
    </row>
    <row r="48" spans="1:13" x14ac:dyDescent="0.2">
      <c r="A48" t="s">
        <v>26</v>
      </c>
      <c r="B48" t="s">
        <v>34</v>
      </c>
      <c r="C48" t="s">
        <v>39</v>
      </c>
      <c r="E48">
        <v>0</v>
      </c>
      <c r="F48" t="s">
        <v>40</v>
      </c>
    </row>
    <row r="49" spans="1:15" x14ac:dyDescent="0.2">
      <c r="A49" t="s">
        <v>26</v>
      </c>
      <c r="B49" t="s">
        <v>34</v>
      </c>
      <c r="C49" t="s">
        <v>41</v>
      </c>
      <c r="E49">
        <v>0</v>
      </c>
      <c r="F49" t="s">
        <v>42</v>
      </c>
    </row>
    <row r="50" spans="1:15" x14ac:dyDescent="0.2">
      <c r="A50" t="s">
        <v>26</v>
      </c>
      <c r="B50" t="s">
        <v>34</v>
      </c>
      <c r="C50" t="s">
        <v>43</v>
      </c>
      <c r="E50">
        <v>24000</v>
      </c>
      <c r="F50" t="s">
        <v>44</v>
      </c>
      <c r="J50">
        <f>J46</f>
        <v>0</v>
      </c>
      <c r="K50">
        <v>0</v>
      </c>
      <c r="L50">
        <f>SUM(L40:L41)/2</f>
        <v>0</v>
      </c>
      <c r="M50">
        <f>SUM(L42:L43)</f>
        <v>24000</v>
      </c>
      <c r="O50">
        <f>SUM(J50:N50)</f>
        <v>24000</v>
      </c>
    </row>
    <row r="51" spans="1:15" x14ac:dyDescent="0.2">
      <c r="A51" t="s">
        <v>26</v>
      </c>
      <c r="B51" t="s">
        <v>34</v>
      </c>
      <c r="C51" t="s">
        <v>45</v>
      </c>
      <c r="E51">
        <v>785</v>
      </c>
      <c r="F51" t="s">
        <v>46</v>
      </c>
    </row>
    <row r="52" spans="1:15" x14ac:dyDescent="0.2">
      <c r="A52" t="s">
        <v>26</v>
      </c>
      <c r="B52" t="s">
        <v>34</v>
      </c>
      <c r="C52" t="s">
        <v>47</v>
      </c>
      <c r="E52">
        <v>0</v>
      </c>
      <c r="F52" t="s">
        <v>48</v>
      </c>
      <c r="J52" s="1" t="s">
        <v>183</v>
      </c>
      <c r="K52" s="1">
        <f>SUMIFS(D2:D37,B2:B37,"Withdraw",F2:F37,"=*ROTH conversion*")</f>
        <v>24000</v>
      </c>
      <c r="L52" s="1"/>
      <c r="M52" s="1" t="s">
        <v>184</v>
      </c>
      <c r="N52" s="1" t="e">
        <f>SUMIFS(#REF!,#REF!,"Withdraw",#REF!,"=*RMD*")</f>
        <v>#REF!</v>
      </c>
    </row>
    <row r="53" spans="1:15" x14ac:dyDescent="0.2">
      <c r="A53" t="s">
        <v>26</v>
      </c>
      <c r="B53" t="s">
        <v>34</v>
      </c>
      <c r="C53" t="s">
        <v>49</v>
      </c>
      <c r="E53">
        <v>0</v>
      </c>
      <c r="F53" t="s">
        <v>50</v>
      </c>
    </row>
    <row r="54" spans="1:15" x14ac:dyDescent="0.2">
      <c r="A54" t="s">
        <v>51</v>
      </c>
      <c r="B54" t="s">
        <v>7</v>
      </c>
      <c r="C54" t="s">
        <v>8</v>
      </c>
      <c r="D54">
        <v>2000</v>
      </c>
      <c r="E54">
        <v>94000</v>
      </c>
      <c r="F54" t="s">
        <v>9</v>
      </c>
    </row>
    <row r="55" spans="1:15" x14ac:dyDescent="0.2">
      <c r="A55" t="s">
        <v>51</v>
      </c>
      <c r="B55" t="s">
        <v>10</v>
      </c>
      <c r="C55" t="s">
        <v>11</v>
      </c>
      <c r="D55">
        <v>2000</v>
      </c>
      <c r="E55">
        <v>36000</v>
      </c>
      <c r="F55" t="s">
        <v>9</v>
      </c>
    </row>
    <row r="56" spans="1:15" x14ac:dyDescent="0.2">
      <c r="A56" t="s">
        <v>51</v>
      </c>
      <c r="B56" t="s">
        <v>12</v>
      </c>
      <c r="C56" t="s">
        <v>13</v>
      </c>
      <c r="D56">
        <v>65.42</v>
      </c>
      <c r="E56">
        <v>119149.58</v>
      </c>
      <c r="F56" t="s">
        <v>14</v>
      </c>
    </row>
    <row r="57" spans="1:15" x14ac:dyDescent="0.2">
      <c r="A57" t="s">
        <v>52</v>
      </c>
      <c r="B57" t="s">
        <v>7</v>
      </c>
      <c r="C57" t="s">
        <v>8</v>
      </c>
      <c r="D57">
        <v>2000</v>
      </c>
      <c r="E57">
        <v>92000</v>
      </c>
      <c r="F57" t="s">
        <v>9</v>
      </c>
    </row>
    <row r="58" spans="1:15" x14ac:dyDescent="0.2">
      <c r="A58" t="s">
        <v>52</v>
      </c>
      <c r="B58" t="s">
        <v>10</v>
      </c>
      <c r="C58" t="s">
        <v>11</v>
      </c>
      <c r="D58">
        <v>2000</v>
      </c>
      <c r="E58">
        <v>38000</v>
      </c>
      <c r="F58" t="s">
        <v>9</v>
      </c>
    </row>
    <row r="59" spans="1:15" x14ac:dyDescent="0.2">
      <c r="A59" t="s">
        <v>52</v>
      </c>
      <c r="B59" t="s">
        <v>12</v>
      </c>
      <c r="C59" t="s">
        <v>13</v>
      </c>
      <c r="D59">
        <v>65.42</v>
      </c>
      <c r="E59">
        <v>119084.16</v>
      </c>
      <c r="F59" t="s">
        <v>14</v>
      </c>
    </row>
    <row r="60" spans="1:15" x14ac:dyDescent="0.2">
      <c r="A60" t="s">
        <v>53</v>
      </c>
      <c r="B60" t="s">
        <v>7</v>
      </c>
      <c r="C60" t="s">
        <v>8</v>
      </c>
      <c r="D60">
        <v>2000</v>
      </c>
      <c r="E60">
        <v>90000</v>
      </c>
      <c r="F60" t="s">
        <v>9</v>
      </c>
    </row>
    <row r="61" spans="1:15" x14ac:dyDescent="0.2">
      <c r="A61" t="s">
        <v>53</v>
      </c>
      <c r="B61" t="s">
        <v>10</v>
      </c>
      <c r="C61" t="s">
        <v>11</v>
      </c>
      <c r="D61">
        <v>2000</v>
      </c>
      <c r="E61">
        <v>40000</v>
      </c>
      <c r="F61" t="s">
        <v>9</v>
      </c>
    </row>
    <row r="62" spans="1:15" x14ac:dyDescent="0.2">
      <c r="A62" t="s">
        <v>53</v>
      </c>
      <c r="B62" t="s">
        <v>12</v>
      </c>
      <c r="C62" t="s">
        <v>13</v>
      </c>
      <c r="D62">
        <v>65.42</v>
      </c>
      <c r="E62">
        <v>119018.74</v>
      </c>
      <c r="F62" t="s">
        <v>14</v>
      </c>
    </row>
    <row r="63" spans="1:15" x14ac:dyDescent="0.2">
      <c r="A63" t="s">
        <v>54</v>
      </c>
      <c r="B63" t="s">
        <v>7</v>
      </c>
      <c r="C63" t="s">
        <v>8</v>
      </c>
      <c r="D63">
        <v>2000</v>
      </c>
      <c r="E63">
        <v>88000</v>
      </c>
      <c r="F63" t="s">
        <v>9</v>
      </c>
    </row>
    <row r="64" spans="1:15" x14ac:dyDescent="0.2">
      <c r="A64" t="s">
        <v>54</v>
      </c>
      <c r="B64" t="s">
        <v>10</v>
      </c>
      <c r="C64" t="s">
        <v>11</v>
      </c>
      <c r="D64">
        <v>2000</v>
      </c>
      <c r="E64">
        <v>42000</v>
      </c>
      <c r="F64" t="s">
        <v>9</v>
      </c>
    </row>
    <row r="65" spans="1:6" x14ac:dyDescent="0.2">
      <c r="A65" t="s">
        <v>54</v>
      </c>
      <c r="B65" t="s">
        <v>12</v>
      </c>
      <c r="C65" t="s">
        <v>13</v>
      </c>
      <c r="D65">
        <v>65.42</v>
      </c>
      <c r="E65">
        <v>118953.32</v>
      </c>
      <c r="F65" t="s">
        <v>14</v>
      </c>
    </row>
    <row r="66" spans="1:6" x14ac:dyDescent="0.2">
      <c r="A66" t="s">
        <v>55</v>
      </c>
      <c r="B66" t="s">
        <v>7</v>
      </c>
      <c r="C66" t="s">
        <v>8</v>
      </c>
      <c r="D66">
        <v>2000</v>
      </c>
      <c r="E66">
        <v>86000</v>
      </c>
      <c r="F66" t="s">
        <v>9</v>
      </c>
    </row>
    <row r="67" spans="1:6" x14ac:dyDescent="0.2">
      <c r="A67" t="s">
        <v>55</v>
      </c>
      <c r="B67" t="s">
        <v>10</v>
      </c>
      <c r="C67" t="s">
        <v>11</v>
      </c>
      <c r="D67">
        <v>2000</v>
      </c>
      <c r="E67">
        <v>44000</v>
      </c>
      <c r="F67" t="s">
        <v>9</v>
      </c>
    </row>
    <row r="68" spans="1:6" x14ac:dyDescent="0.2">
      <c r="A68" t="s">
        <v>55</v>
      </c>
      <c r="B68" t="s">
        <v>12</v>
      </c>
      <c r="C68" t="s">
        <v>13</v>
      </c>
      <c r="D68">
        <v>65.41</v>
      </c>
      <c r="E68">
        <v>118887.91</v>
      </c>
      <c r="F68" t="s">
        <v>14</v>
      </c>
    </row>
    <row r="69" spans="1:6" x14ac:dyDescent="0.2">
      <c r="A69" t="s">
        <v>56</v>
      </c>
      <c r="B69" t="s">
        <v>7</v>
      </c>
      <c r="C69" t="s">
        <v>8</v>
      </c>
      <c r="D69">
        <v>2000</v>
      </c>
      <c r="E69">
        <v>84000</v>
      </c>
      <c r="F69" t="s">
        <v>9</v>
      </c>
    </row>
    <row r="70" spans="1:6" x14ac:dyDescent="0.2">
      <c r="A70" t="s">
        <v>56</v>
      </c>
      <c r="B70" t="s">
        <v>10</v>
      </c>
      <c r="C70" t="s">
        <v>11</v>
      </c>
      <c r="D70">
        <v>2000</v>
      </c>
      <c r="E70">
        <v>46000</v>
      </c>
      <c r="F70" t="s">
        <v>9</v>
      </c>
    </row>
    <row r="71" spans="1:6" x14ac:dyDescent="0.2">
      <c r="A71" t="s">
        <v>56</v>
      </c>
      <c r="B71" t="s">
        <v>12</v>
      </c>
      <c r="C71" t="s">
        <v>13</v>
      </c>
      <c r="D71">
        <v>65.42</v>
      </c>
      <c r="E71">
        <v>118822.49</v>
      </c>
      <c r="F71" t="s">
        <v>14</v>
      </c>
    </row>
    <row r="72" spans="1:6" x14ac:dyDescent="0.2">
      <c r="A72" t="s">
        <v>57</v>
      </c>
      <c r="B72" t="s">
        <v>7</v>
      </c>
      <c r="C72" t="s">
        <v>8</v>
      </c>
      <c r="D72">
        <v>2000</v>
      </c>
      <c r="E72">
        <v>82000</v>
      </c>
      <c r="F72" t="s">
        <v>9</v>
      </c>
    </row>
    <row r="73" spans="1:6" x14ac:dyDescent="0.2">
      <c r="A73" t="s">
        <v>57</v>
      </c>
      <c r="B73" t="s">
        <v>10</v>
      </c>
      <c r="C73" t="s">
        <v>11</v>
      </c>
      <c r="D73">
        <v>2000</v>
      </c>
      <c r="E73">
        <v>48000</v>
      </c>
      <c r="F73" t="s">
        <v>9</v>
      </c>
    </row>
    <row r="74" spans="1:6" x14ac:dyDescent="0.2">
      <c r="A74" t="s">
        <v>57</v>
      </c>
      <c r="B74" t="s">
        <v>12</v>
      </c>
      <c r="C74" t="s">
        <v>13</v>
      </c>
      <c r="D74">
        <v>65.41</v>
      </c>
      <c r="E74">
        <v>118757.08</v>
      </c>
      <c r="F74" t="s">
        <v>14</v>
      </c>
    </row>
    <row r="75" spans="1:6" x14ac:dyDescent="0.2">
      <c r="A75" t="s">
        <v>58</v>
      </c>
      <c r="B75" t="s">
        <v>7</v>
      </c>
      <c r="C75" t="s">
        <v>8</v>
      </c>
      <c r="D75">
        <v>2000</v>
      </c>
      <c r="E75">
        <v>80000</v>
      </c>
      <c r="F75" t="s">
        <v>9</v>
      </c>
    </row>
    <row r="76" spans="1:6" x14ac:dyDescent="0.2">
      <c r="A76" t="s">
        <v>58</v>
      </c>
      <c r="B76" t="s">
        <v>10</v>
      </c>
      <c r="C76" t="s">
        <v>11</v>
      </c>
      <c r="D76">
        <v>2000</v>
      </c>
      <c r="E76">
        <v>50000</v>
      </c>
      <c r="F76" t="s">
        <v>9</v>
      </c>
    </row>
    <row r="77" spans="1:6" x14ac:dyDescent="0.2">
      <c r="A77" t="s">
        <v>58</v>
      </c>
      <c r="B77" t="s">
        <v>12</v>
      </c>
      <c r="C77" t="s">
        <v>13</v>
      </c>
      <c r="D77">
        <v>65.41</v>
      </c>
      <c r="E77">
        <v>118691.67</v>
      </c>
      <c r="F77" t="s">
        <v>14</v>
      </c>
    </row>
    <row r="78" spans="1:6" x14ac:dyDescent="0.2">
      <c r="A78" t="s">
        <v>59</v>
      </c>
      <c r="B78" t="s">
        <v>7</v>
      </c>
      <c r="C78" t="s">
        <v>8</v>
      </c>
      <c r="D78">
        <v>2000</v>
      </c>
      <c r="E78">
        <v>78000</v>
      </c>
      <c r="F78" t="s">
        <v>9</v>
      </c>
    </row>
    <row r="79" spans="1:6" x14ac:dyDescent="0.2">
      <c r="A79" t="s">
        <v>59</v>
      </c>
      <c r="B79" t="s">
        <v>10</v>
      </c>
      <c r="C79" t="s">
        <v>11</v>
      </c>
      <c r="D79">
        <v>2000</v>
      </c>
      <c r="E79">
        <v>52000</v>
      </c>
      <c r="F79" t="s">
        <v>9</v>
      </c>
    </row>
    <row r="80" spans="1:6" x14ac:dyDescent="0.2">
      <c r="A80" t="s">
        <v>59</v>
      </c>
      <c r="B80" t="s">
        <v>12</v>
      </c>
      <c r="C80" t="s">
        <v>13</v>
      </c>
      <c r="D80">
        <v>65.41</v>
      </c>
      <c r="E80">
        <v>118626.26</v>
      </c>
      <c r="F80" t="s">
        <v>14</v>
      </c>
    </row>
    <row r="81" spans="1:13" x14ac:dyDescent="0.2">
      <c r="A81" t="s">
        <v>60</v>
      </c>
      <c r="B81" t="s">
        <v>7</v>
      </c>
      <c r="C81" t="s">
        <v>8</v>
      </c>
      <c r="D81">
        <v>2000</v>
      </c>
      <c r="E81">
        <v>76000</v>
      </c>
      <c r="F81" t="s">
        <v>9</v>
      </c>
    </row>
    <row r="82" spans="1:13" x14ac:dyDescent="0.2">
      <c r="A82" t="s">
        <v>60</v>
      </c>
      <c r="B82" t="s">
        <v>10</v>
      </c>
      <c r="C82" t="s">
        <v>11</v>
      </c>
      <c r="D82">
        <v>2000</v>
      </c>
      <c r="E82">
        <v>54000</v>
      </c>
      <c r="F82" t="s">
        <v>9</v>
      </c>
    </row>
    <row r="83" spans="1:13" x14ac:dyDescent="0.2">
      <c r="A83" t="s">
        <v>60</v>
      </c>
      <c r="B83" t="s">
        <v>12</v>
      </c>
      <c r="C83" t="s">
        <v>13</v>
      </c>
      <c r="D83">
        <v>65.41</v>
      </c>
      <c r="E83">
        <v>118560.85</v>
      </c>
      <c r="F83" t="s">
        <v>14</v>
      </c>
    </row>
    <row r="84" spans="1:13" x14ac:dyDescent="0.2">
      <c r="A84" t="s">
        <v>61</v>
      </c>
      <c r="B84" t="s">
        <v>7</v>
      </c>
      <c r="C84" t="s">
        <v>8</v>
      </c>
      <c r="D84">
        <v>2000</v>
      </c>
      <c r="E84">
        <v>74000</v>
      </c>
      <c r="F84" t="s">
        <v>9</v>
      </c>
    </row>
    <row r="85" spans="1:13" x14ac:dyDescent="0.2">
      <c r="A85" t="s">
        <v>61</v>
      </c>
      <c r="B85" t="s">
        <v>10</v>
      </c>
      <c r="C85" t="s">
        <v>11</v>
      </c>
      <c r="D85">
        <v>2000</v>
      </c>
      <c r="E85">
        <v>56000</v>
      </c>
      <c r="F85" t="s">
        <v>9</v>
      </c>
    </row>
    <row r="86" spans="1:13" x14ac:dyDescent="0.2">
      <c r="A86" t="s">
        <v>61</v>
      </c>
      <c r="B86" t="s">
        <v>12</v>
      </c>
      <c r="C86" t="s">
        <v>13</v>
      </c>
      <c r="D86">
        <v>65.41</v>
      </c>
      <c r="E86">
        <v>118495.44</v>
      </c>
      <c r="F86" t="s">
        <v>14</v>
      </c>
    </row>
    <row r="87" spans="1:13" x14ac:dyDescent="0.2">
      <c r="A87" t="s">
        <v>62</v>
      </c>
      <c r="B87" t="s">
        <v>7</v>
      </c>
      <c r="C87" t="s">
        <v>8</v>
      </c>
      <c r="D87">
        <v>2000</v>
      </c>
      <c r="E87">
        <v>72000</v>
      </c>
      <c r="F87" t="s">
        <v>9</v>
      </c>
    </row>
    <row r="88" spans="1:13" x14ac:dyDescent="0.2">
      <c r="A88" t="s">
        <v>62</v>
      </c>
      <c r="B88" t="s">
        <v>10</v>
      </c>
      <c r="C88" t="s">
        <v>11</v>
      </c>
      <c r="D88">
        <v>2000</v>
      </c>
      <c r="E88">
        <v>58000</v>
      </c>
      <c r="F88" t="s">
        <v>9</v>
      </c>
    </row>
    <row r="89" spans="1:13" x14ac:dyDescent="0.2">
      <c r="A89" t="s">
        <v>62</v>
      </c>
      <c r="B89" t="s">
        <v>12</v>
      </c>
      <c r="C89" t="s">
        <v>13</v>
      </c>
      <c r="D89">
        <v>65.44</v>
      </c>
      <c r="E89">
        <v>118430</v>
      </c>
      <c r="F89" t="s">
        <v>14</v>
      </c>
    </row>
    <row r="90" spans="1:13" x14ac:dyDescent="0.2">
      <c r="A90" t="s">
        <v>63</v>
      </c>
      <c r="B90" t="s">
        <v>27</v>
      </c>
      <c r="C90" t="s">
        <v>13</v>
      </c>
      <c r="E90">
        <v>118430</v>
      </c>
      <c r="F90" t="s">
        <v>28</v>
      </c>
      <c r="J90">
        <f>SUMIFS(D54:D89,B54:B89,"Deposit",C54:C89,"Savings")</f>
        <v>0</v>
      </c>
      <c r="K90">
        <f>SUMIFS(D54:D89,B54:B89,"Payment",C54:C89,"Savings")</f>
        <v>785</v>
      </c>
      <c r="L90">
        <f>SUMIFS(D54:D89,B54:B89,"Withdraw",C54:C89,"Savings")</f>
        <v>0</v>
      </c>
      <c r="M90">
        <f>M38+J90-K90-L90</f>
        <v>118430</v>
      </c>
    </row>
    <row r="91" spans="1:13" x14ac:dyDescent="0.2">
      <c r="A91" t="s">
        <v>63</v>
      </c>
      <c r="B91" t="s">
        <v>27</v>
      </c>
      <c r="C91" t="s">
        <v>29</v>
      </c>
      <c r="E91">
        <v>120000</v>
      </c>
      <c r="F91" t="s">
        <v>28</v>
      </c>
      <c r="J91">
        <f>SUMIFS(D54:D89,B54:B89,"Deposit",C54:C89,"Savings2")</f>
        <v>0</v>
      </c>
      <c r="L91">
        <f>SUMIFS(D54:D89,B54:B89,"Withdraw",C54:C89,"Savings2")</f>
        <v>0</v>
      </c>
      <c r="M91">
        <f>M39+J91-K91-L91</f>
        <v>120000</v>
      </c>
    </row>
    <row r="92" spans="1:13" x14ac:dyDescent="0.2">
      <c r="A92" t="s">
        <v>63</v>
      </c>
      <c r="B92" t="s">
        <v>27</v>
      </c>
      <c r="C92" t="s">
        <v>30</v>
      </c>
      <c r="E92">
        <v>120000</v>
      </c>
      <c r="F92" t="s">
        <v>28</v>
      </c>
      <c r="J92">
        <f>SUMIFS(D54:D89,B54:B89,"Deposit",C54:C89,"Brokerage")</f>
        <v>0</v>
      </c>
      <c r="L92">
        <f>SUMIFS(D54:D89,B54:B89,"Withdraw",C54:C89,"Brokerage")</f>
        <v>0</v>
      </c>
      <c r="M92">
        <f>M40+J92-K92-L92</f>
        <v>120000</v>
      </c>
    </row>
    <row r="93" spans="1:13" x14ac:dyDescent="0.2">
      <c r="A93" t="s">
        <v>63</v>
      </c>
      <c r="B93" t="s">
        <v>27</v>
      </c>
      <c r="C93" t="s">
        <v>31</v>
      </c>
      <c r="E93">
        <v>120000</v>
      </c>
      <c r="F93" t="s">
        <v>28</v>
      </c>
      <c r="J93">
        <f>SUMIFS(D54:D89,B54:B89,"Deposit",C54:C89,"Brokerage2")</f>
        <v>0</v>
      </c>
      <c r="L93">
        <f>SUMIFS(D54:D89,B54:B89,"Withdraw",C54:C89,"Brokerage2")</f>
        <v>0</v>
      </c>
      <c r="M93">
        <f>M41+J93-K93-L93</f>
        <v>120000</v>
      </c>
    </row>
    <row r="94" spans="1:13" x14ac:dyDescent="0.2">
      <c r="A94" t="s">
        <v>63</v>
      </c>
      <c r="B94" t="s">
        <v>27</v>
      </c>
      <c r="C94" t="s">
        <v>8</v>
      </c>
      <c r="E94">
        <v>72000</v>
      </c>
      <c r="F94" t="s">
        <v>28</v>
      </c>
      <c r="J94">
        <f>SUMIFS(D54:D89,B54:B89,"Deposit",C54:C89,"IRA")</f>
        <v>0</v>
      </c>
      <c r="L94">
        <f>SUMIFS(D54:D89,B54:B89,"Withdraw",C54:C89,"IRA")</f>
        <v>24000</v>
      </c>
      <c r="M94">
        <f>M42+J94-K94-L94</f>
        <v>72000</v>
      </c>
    </row>
    <row r="95" spans="1:13" x14ac:dyDescent="0.2">
      <c r="A95" t="s">
        <v>63</v>
      </c>
      <c r="B95" t="s">
        <v>27</v>
      </c>
      <c r="C95" t="s">
        <v>32</v>
      </c>
      <c r="E95">
        <v>120000</v>
      </c>
      <c r="F95" t="s">
        <v>28</v>
      </c>
      <c r="J95">
        <f>SUMIFS(D54:D89,B54:B89,"Deposit",C54:C89,"IRA2")</f>
        <v>0</v>
      </c>
      <c r="L95">
        <f>SUMIFS(D54:D89,B54:B89,"Withdraw",C54:C89,"IRA2")</f>
        <v>0</v>
      </c>
      <c r="M95">
        <f>M43+J95-K95-L95</f>
        <v>120000</v>
      </c>
    </row>
    <row r="96" spans="1:13" x14ac:dyDescent="0.2">
      <c r="A96" t="s">
        <v>63</v>
      </c>
      <c r="B96" t="s">
        <v>27</v>
      </c>
      <c r="C96" t="s">
        <v>11</v>
      </c>
      <c r="E96">
        <v>58000</v>
      </c>
      <c r="F96" t="s">
        <v>28</v>
      </c>
      <c r="J96">
        <f>SUMIFS(D54:D89,B54:B89,"Deposit",C54:C89,"Roth")</f>
        <v>24000</v>
      </c>
      <c r="L96">
        <f>SUMIFS(D54:D89,B54:B89,"Withdraw",C54:C89,"Roth")</f>
        <v>0</v>
      </c>
      <c r="M96">
        <f>M44+J96-K96-L96</f>
        <v>58000</v>
      </c>
    </row>
    <row r="97" spans="1:15" x14ac:dyDescent="0.2">
      <c r="A97" t="s">
        <v>63</v>
      </c>
      <c r="B97" t="s">
        <v>27</v>
      </c>
      <c r="C97" t="s">
        <v>33</v>
      </c>
      <c r="E97">
        <v>10000</v>
      </c>
      <c r="F97" t="s">
        <v>28</v>
      </c>
      <c r="J97">
        <f>SUMIFS(D54:D89,B54:B89,"Deposit",C54:C89,"Roth2")</f>
        <v>0</v>
      </c>
      <c r="L97">
        <f>SUMIFS(D54:D89,B54:B89,"Withdraw",C54:C89,"Roth2")</f>
        <v>0</v>
      </c>
      <c r="M97">
        <f>M45+J97-K97-L97</f>
        <v>10000</v>
      </c>
    </row>
    <row r="98" spans="1:15" x14ac:dyDescent="0.2">
      <c r="A98" t="s">
        <v>63</v>
      </c>
      <c r="B98" t="s">
        <v>34</v>
      </c>
      <c r="C98" t="s">
        <v>35</v>
      </c>
      <c r="E98">
        <v>0</v>
      </c>
      <c r="F98" t="s">
        <v>36</v>
      </c>
      <c r="J98">
        <f>SUMIFS(D54:D89,C54:C89,"Savings",B54:B89,"Deposit",F54:F89,"=*income*")</f>
        <v>0</v>
      </c>
      <c r="K98">
        <f>J98*6.2%</f>
        <v>0</v>
      </c>
    </row>
    <row r="99" spans="1:15" x14ac:dyDescent="0.2">
      <c r="A99" t="s">
        <v>63</v>
      </c>
      <c r="B99" t="s">
        <v>34</v>
      </c>
      <c r="C99" t="s">
        <v>37</v>
      </c>
      <c r="E99">
        <v>0</v>
      </c>
      <c r="F99" t="s">
        <v>38</v>
      </c>
      <c r="J99">
        <f>J98</f>
        <v>0</v>
      </c>
      <c r="K99">
        <f>J99*1.45%</f>
        <v>0</v>
      </c>
    </row>
    <row r="100" spans="1:15" x14ac:dyDescent="0.2">
      <c r="A100" t="s">
        <v>63</v>
      </c>
      <c r="B100" t="s">
        <v>34</v>
      </c>
      <c r="C100" t="s">
        <v>39</v>
      </c>
      <c r="E100">
        <v>0</v>
      </c>
      <c r="F100" t="s">
        <v>40</v>
      </c>
    </row>
    <row r="101" spans="1:15" x14ac:dyDescent="0.2">
      <c r="A101" t="s">
        <v>63</v>
      </c>
      <c r="B101" t="s">
        <v>34</v>
      </c>
      <c r="C101" t="s">
        <v>41</v>
      </c>
      <c r="E101">
        <v>0</v>
      </c>
      <c r="F101" t="s">
        <v>42</v>
      </c>
    </row>
    <row r="102" spans="1:15" x14ac:dyDescent="0.2">
      <c r="A102" t="s">
        <v>63</v>
      </c>
      <c r="B102" t="s">
        <v>34</v>
      </c>
      <c r="C102" t="s">
        <v>43</v>
      </c>
      <c r="E102">
        <v>24000</v>
      </c>
      <c r="F102" t="s">
        <v>44</v>
      </c>
      <c r="J102">
        <f>J98</f>
        <v>0</v>
      </c>
      <c r="K102">
        <v>0</v>
      </c>
      <c r="L102">
        <f>SUM(L92:L93)/2</f>
        <v>0</v>
      </c>
      <c r="M102">
        <f>SUM(L94:L95)</f>
        <v>24000</v>
      </c>
      <c r="O102">
        <f>SUM(J102:N102)</f>
        <v>24000</v>
      </c>
    </row>
    <row r="103" spans="1:15" x14ac:dyDescent="0.2">
      <c r="A103" t="s">
        <v>63</v>
      </c>
      <c r="B103" t="s">
        <v>34</v>
      </c>
      <c r="C103" t="s">
        <v>45</v>
      </c>
      <c r="E103">
        <v>785</v>
      </c>
      <c r="F103" t="s">
        <v>46</v>
      </c>
    </row>
    <row r="104" spans="1:15" x14ac:dyDescent="0.2">
      <c r="A104" t="s">
        <v>63</v>
      </c>
      <c r="B104" t="s">
        <v>34</v>
      </c>
      <c r="C104" t="s">
        <v>47</v>
      </c>
      <c r="E104">
        <v>0</v>
      </c>
      <c r="F104" t="s">
        <v>48</v>
      </c>
      <c r="J104" s="1" t="s">
        <v>183</v>
      </c>
      <c r="K104" s="1">
        <f>SUMIFS(D54:D89,B54:B89,"Withdraw",F54:F89,"=*ROTH conversion*")</f>
        <v>24000</v>
      </c>
      <c r="L104" s="1"/>
      <c r="M104" s="1" t="s">
        <v>184</v>
      </c>
      <c r="N104" s="1">
        <f>SUMIFS(D30:D89,B30:B89,"Withdraw",F30:F89,"=*RMD*")</f>
        <v>0</v>
      </c>
    </row>
    <row r="105" spans="1:15" x14ac:dyDescent="0.2">
      <c r="A105" t="s">
        <v>63</v>
      </c>
      <c r="B105" t="s">
        <v>34</v>
      </c>
      <c r="C105" t="s">
        <v>49</v>
      </c>
      <c r="E105">
        <v>0</v>
      </c>
      <c r="F105" t="s">
        <v>50</v>
      </c>
    </row>
    <row r="106" spans="1:15" x14ac:dyDescent="0.2">
      <c r="A106" t="s">
        <v>64</v>
      </c>
      <c r="B106" t="s">
        <v>7</v>
      </c>
      <c r="C106" t="s">
        <v>8</v>
      </c>
      <c r="D106">
        <v>2000</v>
      </c>
      <c r="E106">
        <v>70000</v>
      </c>
      <c r="F106" t="s">
        <v>9</v>
      </c>
    </row>
    <row r="107" spans="1:15" x14ac:dyDescent="0.2">
      <c r="A107" t="s">
        <v>64</v>
      </c>
      <c r="B107" t="s">
        <v>10</v>
      </c>
      <c r="C107" t="s">
        <v>11</v>
      </c>
      <c r="D107">
        <v>2000</v>
      </c>
      <c r="E107">
        <v>60000</v>
      </c>
      <c r="F107" t="s">
        <v>9</v>
      </c>
    </row>
    <row r="108" spans="1:15" x14ac:dyDescent="0.2">
      <c r="A108" t="s">
        <v>64</v>
      </c>
      <c r="B108" t="s">
        <v>12</v>
      </c>
      <c r="C108" t="s">
        <v>13</v>
      </c>
      <c r="D108">
        <v>65.42</v>
      </c>
      <c r="E108">
        <v>118364.58</v>
      </c>
      <c r="F108" t="s">
        <v>14</v>
      </c>
    </row>
    <row r="109" spans="1:15" x14ac:dyDescent="0.2">
      <c r="A109" t="s">
        <v>65</v>
      </c>
      <c r="B109" t="s">
        <v>7</v>
      </c>
      <c r="C109" t="s">
        <v>8</v>
      </c>
      <c r="D109">
        <v>2000</v>
      </c>
      <c r="E109">
        <v>68000</v>
      </c>
      <c r="F109" t="s">
        <v>9</v>
      </c>
    </row>
    <row r="110" spans="1:15" x14ac:dyDescent="0.2">
      <c r="A110" t="s">
        <v>65</v>
      </c>
      <c r="B110" t="s">
        <v>10</v>
      </c>
      <c r="C110" t="s">
        <v>11</v>
      </c>
      <c r="D110">
        <v>2000</v>
      </c>
      <c r="E110">
        <v>62000</v>
      </c>
      <c r="F110" t="s">
        <v>9</v>
      </c>
    </row>
    <row r="111" spans="1:15" x14ac:dyDescent="0.2">
      <c r="A111" t="s">
        <v>65</v>
      </c>
      <c r="B111" t="s">
        <v>12</v>
      </c>
      <c r="C111" t="s">
        <v>13</v>
      </c>
      <c r="D111">
        <v>65.42</v>
      </c>
      <c r="E111">
        <v>118299.16</v>
      </c>
      <c r="F111" t="s">
        <v>14</v>
      </c>
    </row>
    <row r="112" spans="1:15" x14ac:dyDescent="0.2">
      <c r="A112" t="s">
        <v>66</v>
      </c>
      <c r="B112" t="s">
        <v>7</v>
      </c>
      <c r="C112" t="s">
        <v>8</v>
      </c>
      <c r="D112">
        <v>2000</v>
      </c>
      <c r="E112">
        <v>66000</v>
      </c>
      <c r="F112" t="s">
        <v>9</v>
      </c>
    </row>
    <row r="113" spans="1:6" x14ac:dyDescent="0.2">
      <c r="A113" t="s">
        <v>66</v>
      </c>
      <c r="B113" t="s">
        <v>10</v>
      </c>
      <c r="C113" t="s">
        <v>11</v>
      </c>
      <c r="D113">
        <v>2000</v>
      </c>
      <c r="E113">
        <v>64000</v>
      </c>
      <c r="F113" t="s">
        <v>9</v>
      </c>
    </row>
    <row r="114" spans="1:6" x14ac:dyDescent="0.2">
      <c r="A114" t="s">
        <v>66</v>
      </c>
      <c r="B114" t="s">
        <v>12</v>
      </c>
      <c r="C114" t="s">
        <v>13</v>
      </c>
      <c r="D114">
        <v>65.42</v>
      </c>
      <c r="E114">
        <v>118233.74</v>
      </c>
      <c r="F114" t="s">
        <v>14</v>
      </c>
    </row>
    <row r="115" spans="1:6" x14ac:dyDescent="0.2">
      <c r="A115" t="s">
        <v>67</v>
      </c>
      <c r="B115" t="s">
        <v>7</v>
      </c>
      <c r="C115" t="s">
        <v>8</v>
      </c>
      <c r="D115">
        <v>2000</v>
      </c>
      <c r="E115">
        <v>64000</v>
      </c>
      <c r="F115" t="s">
        <v>9</v>
      </c>
    </row>
    <row r="116" spans="1:6" x14ac:dyDescent="0.2">
      <c r="A116" t="s">
        <v>67</v>
      </c>
      <c r="B116" t="s">
        <v>10</v>
      </c>
      <c r="C116" t="s">
        <v>11</v>
      </c>
      <c r="D116">
        <v>2000</v>
      </c>
      <c r="E116">
        <v>66000</v>
      </c>
      <c r="F116" t="s">
        <v>9</v>
      </c>
    </row>
    <row r="117" spans="1:6" x14ac:dyDescent="0.2">
      <c r="A117" t="s">
        <v>67</v>
      </c>
      <c r="B117" t="s">
        <v>12</v>
      </c>
      <c r="C117" t="s">
        <v>13</v>
      </c>
      <c r="D117">
        <v>65.42</v>
      </c>
      <c r="E117">
        <v>118168.32000000001</v>
      </c>
      <c r="F117" t="s">
        <v>14</v>
      </c>
    </row>
    <row r="118" spans="1:6" x14ac:dyDescent="0.2">
      <c r="A118" t="s">
        <v>68</v>
      </c>
      <c r="B118" t="s">
        <v>7</v>
      </c>
      <c r="C118" t="s">
        <v>8</v>
      </c>
      <c r="D118">
        <v>2000</v>
      </c>
      <c r="E118">
        <v>62000</v>
      </c>
      <c r="F118" t="s">
        <v>9</v>
      </c>
    </row>
    <row r="119" spans="1:6" x14ac:dyDescent="0.2">
      <c r="A119" t="s">
        <v>68</v>
      </c>
      <c r="B119" t="s">
        <v>10</v>
      </c>
      <c r="C119" t="s">
        <v>11</v>
      </c>
      <c r="D119">
        <v>2000</v>
      </c>
      <c r="E119">
        <v>68000</v>
      </c>
      <c r="F119" t="s">
        <v>9</v>
      </c>
    </row>
    <row r="120" spans="1:6" x14ac:dyDescent="0.2">
      <c r="A120" t="s">
        <v>68</v>
      </c>
      <c r="B120" t="s">
        <v>12</v>
      </c>
      <c r="C120" t="s">
        <v>13</v>
      </c>
      <c r="D120">
        <v>65.41</v>
      </c>
      <c r="E120">
        <v>118102.91</v>
      </c>
      <c r="F120" t="s">
        <v>14</v>
      </c>
    </row>
    <row r="121" spans="1:6" x14ac:dyDescent="0.2">
      <c r="A121" t="s">
        <v>69</v>
      </c>
      <c r="B121" t="s">
        <v>7</v>
      </c>
      <c r="C121" t="s">
        <v>8</v>
      </c>
      <c r="D121">
        <v>2000</v>
      </c>
      <c r="E121">
        <v>60000</v>
      </c>
      <c r="F121" t="s">
        <v>9</v>
      </c>
    </row>
    <row r="122" spans="1:6" x14ac:dyDescent="0.2">
      <c r="A122" t="s">
        <v>69</v>
      </c>
      <c r="B122" t="s">
        <v>10</v>
      </c>
      <c r="C122" t="s">
        <v>11</v>
      </c>
      <c r="D122">
        <v>2000</v>
      </c>
      <c r="E122">
        <v>70000</v>
      </c>
      <c r="F122" t="s">
        <v>9</v>
      </c>
    </row>
    <row r="123" spans="1:6" x14ac:dyDescent="0.2">
      <c r="A123" t="s">
        <v>69</v>
      </c>
      <c r="B123" t="s">
        <v>12</v>
      </c>
      <c r="C123" t="s">
        <v>13</v>
      </c>
      <c r="D123">
        <v>65.42</v>
      </c>
      <c r="E123">
        <v>118037.49</v>
      </c>
      <c r="F123" t="s">
        <v>14</v>
      </c>
    </row>
    <row r="124" spans="1:6" x14ac:dyDescent="0.2">
      <c r="A124" t="s">
        <v>70</v>
      </c>
      <c r="B124" t="s">
        <v>7</v>
      </c>
      <c r="C124" t="s">
        <v>8</v>
      </c>
      <c r="D124">
        <v>2000</v>
      </c>
      <c r="E124">
        <v>58000</v>
      </c>
      <c r="F124" t="s">
        <v>9</v>
      </c>
    </row>
    <row r="125" spans="1:6" x14ac:dyDescent="0.2">
      <c r="A125" t="s">
        <v>70</v>
      </c>
      <c r="B125" t="s">
        <v>10</v>
      </c>
      <c r="C125" t="s">
        <v>11</v>
      </c>
      <c r="D125">
        <v>2000</v>
      </c>
      <c r="E125">
        <v>72000</v>
      </c>
      <c r="F125" t="s">
        <v>9</v>
      </c>
    </row>
    <row r="126" spans="1:6" x14ac:dyDescent="0.2">
      <c r="A126" t="s">
        <v>70</v>
      </c>
      <c r="B126" t="s">
        <v>12</v>
      </c>
      <c r="C126" t="s">
        <v>13</v>
      </c>
      <c r="D126">
        <v>65.41</v>
      </c>
      <c r="E126">
        <v>117972.08</v>
      </c>
      <c r="F126" t="s">
        <v>14</v>
      </c>
    </row>
    <row r="127" spans="1:6" x14ac:dyDescent="0.2">
      <c r="A127" t="s">
        <v>71</v>
      </c>
      <c r="B127" t="s">
        <v>7</v>
      </c>
      <c r="C127" t="s">
        <v>8</v>
      </c>
      <c r="D127">
        <v>2000</v>
      </c>
      <c r="E127">
        <v>56000</v>
      </c>
      <c r="F127" t="s">
        <v>9</v>
      </c>
    </row>
    <row r="128" spans="1:6" x14ac:dyDescent="0.2">
      <c r="A128" t="s">
        <v>71</v>
      </c>
      <c r="B128" t="s">
        <v>10</v>
      </c>
      <c r="C128" t="s">
        <v>11</v>
      </c>
      <c r="D128">
        <v>2000</v>
      </c>
      <c r="E128">
        <v>74000</v>
      </c>
      <c r="F128" t="s">
        <v>9</v>
      </c>
    </row>
    <row r="129" spans="1:13" x14ac:dyDescent="0.2">
      <c r="A129" t="s">
        <v>71</v>
      </c>
      <c r="B129" t="s">
        <v>12</v>
      </c>
      <c r="C129" t="s">
        <v>13</v>
      </c>
      <c r="D129">
        <v>65.41</v>
      </c>
      <c r="E129">
        <v>117906.67</v>
      </c>
      <c r="F129" t="s">
        <v>14</v>
      </c>
    </row>
    <row r="130" spans="1:13" x14ac:dyDescent="0.2">
      <c r="A130" t="s">
        <v>72</v>
      </c>
      <c r="B130" t="s">
        <v>7</v>
      </c>
      <c r="C130" t="s">
        <v>8</v>
      </c>
      <c r="D130">
        <v>2000</v>
      </c>
      <c r="E130">
        <v>54000</v>
      </c>
      <c r="F130" t="s">
        <v>9</v>
      </c>
    </row>
    <row r="131" spans="1:13" x14ac:dyDescent="0.2">
      <c r="A131" t="s">
        <v>72</v>
      </c>
      <c r="B131" t="s">
        <v>10</v>
      </c>
      <c r="C131" t="s">
        <v>11</v>
      </c>
      <c r="D131">
        <v>2000</v>
      </c>
      <c r="E131">
        <v>76000</v>
      </c>
      <c r="F131" t="s">
        <v>9</v>
      </c>
    </row>
    <row r="132" spans="1:13" x14ac:dyDescent="0.2">
      <c r="A132" t="s">
        <v>72</v>
      </c>
      <c r="B132" t="s">
        <v>12</v>
      </c>
      <c r="C132" t="s">
        <v>13</v>
      </c>
      <c r="D132">
        <v>65.41</v>
      </c>
      <c r="E132">
        <v>117841.26</v>
      </c>
      <c r="F132" t="s">
        <v>14</v>
      </c>
    </row>
    <row r="133" spans="1:13" x14ac:dyDescent="0.2">
      <c r="A133" t="s">
        <v>73</v>
      </c>
      <c r="B133" t="s">
        <v>7</v>
      </c>
      <c r="C133" t="s">
        <v>8</v>
      </c>
      <c r="D133">
        <v>2000</v>
      </c>
      <c r="E133">
        <v>52000</v>
      </c>
      <c r="F133" t="s">
        <v>9</v>
      </c>
    </row>
    <row r="134" spans="1:13" x14ac:dyDescent="0.2">
      <c r="A134" t="s">
        <v>73</v>
      </c>
      <c r="B134" t="s">
        <v>10</v>
      </c>
      <c r="C134" t="s">
        <v>11</v>
      </c>
      <c r="D134">
        <v>2000</v>
      </c>
      <c r="E134">
        <v>78000</v>
      </c>
      <c r="F134" t="s">
        <v>9</v>
      </c>
    </row>
    <row r="135" spans="1:13" x14ac:dyDescent="0.2">
      <c r="A135" t="s">
        <v>73</v>
      </c>
      <c r="B135" t="s">
        <v>12</v>
      </c>
      <c r="C135" t="s">
        <v>13</v>
      </c>
      <c r="D135">
        <v>65.41</v>
      </c>
      <c r="E135">
        <v>117775.85</v>
      </c>
      <c r="F135" t="s">
        <v>14</v>
      </c>
    </row>
    <row r="136" spans="1:13" x14ac:dyDescent="0.2">
      <c r="A136" t="s">
        <v>74</v>
      </c>
      <c r="B136" t="s">
        <v>7</v>
      </c>
      <c r="C136" t="s">
        <v>8</v>
      </c>
      <c r="D136">
        <v>2000</v>
      </c>
      <c r="E136">
        <v>50000</v>
      </c>
      <c r="F136" t="s">
        <v>9</v>
      </c>
    </row>
    <row r="137" spans="1:13" x14ac:dyDescent="0.2">
      <c r="A137" t="s">
        <v>74</v>
      </c>
      <c r="B137" t="s">
        <v>10</v>
      </c>
      <c r="C137" t="s">
        <v>11</v>
      </c>
      <c r="D137">
        <v>2000</v>
      </c>
      <c r="E137">
        <v>80000</v>
      </c>
      <c r="F137" t="s">
        <v>9</v>
      </c>
    </row>
    <row r="138" spans="1:13" x14ac:dyDescent="0.2">
      <c r="A138" t="s">
        <v>74</v>
      </c>
      <c r="B138" t="s">
        <v>12</v>
      </c>
      <c r="C138" t="s">
        <v>13</v>
      </c>
      <c r="D138">
        <v>65.41</v>
      </c>
      <c r="E138">
        <v>117710.44</v>
      </c>
      <c r="F138" t="s">
        <v>14</v>
      </c>
    </row>
    <row r="139" spans="1:13" x14ac:dyDescent="0.2">
      <c r="A139" t="s">
        <v>75</v>
      </c>
      <c r="B139" t="s">
        <v>7</v>
      </c>
      <c r="C139" t="s">
        <v>8</v>
      </c>
      <c r="D139">
        <v>2000</v>
      </c>
      <c r="E139">
        <v>48000</v>
      </c>
      <c r="F139" t="s">
        <v>9</v>
      </c>
    </row>
    <row r="140" spans="1:13" x14ac:dyDescent="0.2">
      <c r="A140" t="s">
        <v>75</v>
      </c>
      <c r="B140" t="s">
        <v>10</v>
      </c>
      <c r="C140" t="s">
        <v>11</v>
      </c>
      <c r="D140">
        <v>2000</v>
      </c>
      <c r="E140">
        <v>82000</v>
      </c>
      <c r="F140" t="s">
        <v>9</v>
      </c>
    </row>
    <row r="141" spans="1:13" x14ac:dyDescent="0.2">
      <c r="A141" t="s">
        <v>75</v>
      </c>
      <c r="B141" t="s">
        <v>12</v>
      </c>
      <c r="C141" t="s">
        <v>13</v>
      </c>
      <c r="D141">
        <v>65.44</v>
      </c>
      <c r="E141">
        <v>117645</v>
      </c>
      <c r="F141" t="s">
        <v>14</v>
      </c>
    </row>
    <row r="142" spans="1:13" x14ac:dyDescent="0.2">
      <c r="A142" t="s">
        <v>76</v>
      </c>
      <c r="B142" t="s">
        <v>27</v>
      </c>
      <c r="C142" t="s">
        <v>13</v>
      </c>
      <c r="E142">
        <v>117645</v>
      </c>
      <c r="F142" t="s">
        <v>28</v>
      </c>
      <c r="J142">
        <f>SUMIFS(D106:D141,B106:B141,"Deposit",C106:C141,"Savings")</f>
        <v>0</v>
      </c>
      <c r="K142">
        <f>SUMIFS(D106:D141,B106:B141,"Payment",C106:C141,"Savings")</f>
        <v>785</v>
      </c>
      <c r="L142">
        <f>SUMIFS(D106:D141,B106:B141,"Withdraw",C106:C141,"Savings")</f>
        <v>0</v>
      </c>
      <c r="M142">
        <f>M90+J142-K142-L142</f>
        <v>117645</v>
      </c>
    </row>
    <row r="143" spans="1:13" x14ac:dyDescent="0.2">
      <c r="A143" t="s">
        <v>76</v>
      </c>
      <c r="B143" t="s">
        <v>27</v>
      </c>
      <c r="C143" t="s">
        <v>29</v>
      </c>
      <c r="E143">
        <v>120000</v>
      </c>
      <c r="F143" t="s">
        <v>28</v>
      </c>
      <c r="J143">
        <f>SUMIFS(D106:D141,B106:B141,"Deposit",C106:C141,"Savings2")</f>
        <v>0</v>
      </c>
      <c r="L143">
        <f>SUMIFS(D106:D141,B106:B141,"Withdraw",C106:C141,"Savings2")</f>
        <v>0</v>
      </c>
      <c r="M143">
        <f>M91+J143-K143-L143</f>
        <v>120000</v>
      </c>
    </row>
    <row r="144" spans="1:13" x14ac:dyDescent="0.2">
      <c r="A144" t="s">
        <v>76</v>
      </c>
      <c r="B144" t="s">
        <v>27</v>
      </c>
      <c r="C144" t="s">
        <v>30</v>
      </c>
      <c r="E144">
        <v>120000</v>
      </c>
      <c r="F144" t="s">
        <v>28</v>
      </c>
      <c r="J144">
        <f>SUMIFS(D106:D141,B106:B141,"Deposit",C106:C141,"Brokerage")</f>
        <v>0</v>
      </c>
      <c r="L144">
        <f>SUMIFS(D106:D141,B106:B141,"Withdraw",C106:C141,"Brokerage")</f>
        <v>0</v>
      </c>
      <c r="M144">
        <f>M92+J144-K144-L144</f>
        <v>120000</v>
      </c>
    </row>
    <row r="145" spans="1:15" x14ac:dyDescent="0.2">
      <c r="A145" t="s">
        <v>76</v>
      </c>
      <c r="B145" t="s">
        <v>27</v>
      </c>
      <c r="C145" t="s">
        <v>31</v>
      </c>
      <c r="E145">
        <v>120000</v>
      </c>
      <c r="F145" t="s">
        <v>28</v>
      </c>
      <c r="J145">
        <f>SUMIFS(D106:D141,B106:B141,"Deposit",C106:C141,"Brokerage2")</f>
        <v>0</v>
      </c>
      <c r="L145">
        <f>SUMIFS(D106:D141,B106:B141,"Withdraw",C106:C141,"Brokerage2")</f>
        <v>0</v>
      </c>
      <c r="M145">
        <f>M93+J145-K145-L145</f>
        <v>120000</v>
      </c>
    </row>
    <row r="146" spans="1:15" x14ac:dyDescent="0.2">
      <c r="A146" t="s">
        <v>76</v>
      </c>
      <c r="B146" t="s">
        <v>27</v>
      </c>
      <c r="C146" t="s">
        <v>8</v>
      </c>
      <c r="E146">
        <v>48000</v>
      </c>
      <c r="F146" t="s">
        <v>28</v>
      </c>
      <c r="J146">
        <f>SUMIFS(D106:D141,B106:B141,"Deposit",C106:C141,"IRA")</f>
        <v>0</v>
      </c>
      <c r="L146">
        <f>SUMIFS(D106:D141,B106:B141,"Withdraw",C106:C141,"IRA")</f>
        <v>24000</v>
      </c>
      <c r="M146">
        <f>M94+J146-K146-L146</f>
        <v>48000</v>
      </c>
    </row>
    <row r="147" spans="1:15" x14ac:dyDescent="0.2">
      <c r="A147" t="s">
        <v>76</v>
      </c>
      <c r="B147" t="s">
        <v>27</v>
      </c>
      <c r="C147" t="s">
        <v>32</v>
      </c>
      <c r="E147">
        <v>120000</v>
      </c>
      <c r="F147" t="s">
        <v>28</v>
      </c>
      <c r="J147">
        <f>SUMIFS(D106:D141,B106:B141,"Deposit",C106:C141,"IRA2")</f>
        <v>0</v>
      </c>
      <c r="L147">
        <f>SUMIFS(D106:D141,B106:B141,"Withdraw",C106:C141,"IRA2")</f>
        <v>0</v>
      </c>
      <c r="M147">
        <f>M95+J147-K147-L147</f>
        <v>120000</v>
      </c>
    </row>
    <row r="148" spans="1:15" x14ac:dyDescent="0.2">
      <c r="A148" t="s">
        <v>76</v>
      </c>
      <c r="B148" t="s">
        <v>27</v>
      </c>
      <c r="C148" t="s">
        <v>11</v>
      </c>
      <c r="E148">
        <v>82000</v>
      </c>
      <c r="F148" t="s">
        <v>28</v>
      </c>
      <c r="J148">
        <f>SUMIFS(D106:D141,B106:B141,"Deposit",C106:C141,"Roth")</f>
        <v>24000</v>
      </c>
      <c r="L148">
        <f>SUMIFS(D106:D141,B106:B141,"Withdraw",C106:C141,"Roth")</f>
        <v>0</v>
      </c>
      <c r="M148">
        <f>M96+J148-K148-L148</f>
        <v>82000</v>
      </c>
    </row>
    <row r="149" spans="1:15" x14ac:dyDescent="0.2">
      <c r="A149" t="s">
        <v>76</v>
      </c>
      <c r="B149" t="s">
        <v>27</v>
      </c>
      <c r="C149" t="s">
        <v>33</v>
      </c>
      <c r="E149">
        <v>10000</v>
      </c>
      <c r="F149" t="s">
        <v>28</v>
      </c>
      <c r="J149">
        <f>SUMIFS(D106:D141,B106:B141,"Deposit",C106:C141,"Roth2")</f>
        <v>0</v>
      </c>
      <c r="L149">
        <f>SUMIFS(D106:D141,B106:B141,"Withdraw",C106:C141,"Roth2")</f>
        <v>0</v>
      </c>
      <c r="M149">
        <f>M97+J149-K149-L149</f>
        <v>10000</v>
      </c>
    </row>
    <row r="150" spans="1:15" x14ac:dyDescent="0.2">
      <c r="A150" t="s">
        <v>76</v>
      </c>
      <c r="B150" t="s">
        <v>34</v>
      </c>
      <c r="C150" t="s">
        <v>35</v>
      </c>
      <c r="E150">
        <v>0</v>
      </c>
      <c r="F150" t="s">
        <v>36</v>
      </c>
      <c r="J150">
        <f>SUMIFS(D106:D141,C106:C141,"Savings",B106:B141,"Deposit",F106:F141,"=*income*")</f>
        <v>0</v>
      </c>
      <c r="K150">
        <f>J150*6.2%</f>
        <v>0</v>
      </c>
    </row>
    <row r="151" spans="1:15" x14ac:dyDescent="0.2">
      <c r="A151" t="s">
        <v>76</v>
      </c>
      <c r="B151" t="s">
        <v>34</v>
      </c>
      <c r="C151" t="s">
        <v>37</v>
      </c>
      <c r="E151">
        <v>0</v>
      </c>
      <c r="F151" t="s">
        <v>38</v>
      </c>
      <c r="J151">
        <f>J150</f>
        <v>0</v>
      </c>
      <c r="K151">
        <f>J151*1.45%</f>
        <v>0</v>
      </c>
    </row>
    <row r="152" spans="1:15" x14ac:dyDescent="0.2">
      <c r="A152" t="s">
        <v>76</v>
      </c>
      <c r="B152" t="s">
        <v>34</v>
      </c>
      <c r="C152" t="s">
        <v>39</v>
      </c>
      <c r="E152">
        <v>0</v>
      </c>
      <c r="F152" t="s">
        <v>40</v>
      </c>
    </row>
    <row r="153" spans="1:15" x14ac:dyDescent="0.2">
      <c r="A153" t="s">
        <v>76</v>
      </c>
      <c r="B153" t="s">
        <v>34</v>
      </c>
      <c r="C153" t="s">
        <v>41</v>
      </c>
      <c r="E153">
        <v>0</v>
      </c>
      <c r="F153" t="s">
        <v>42</v>
      </c>
    </row>
    <row r="154" spans="1:15" x14ac:dyDescent="0.2">
      <c r="A154" t="s">
        <v>76</v>
      </c>
      <c r="B154" t="s">
        <v>34</v>
      </c>
      <c r="C154" t="s">
        <v>43</v>
      </c>
      <c r="E154">
        <v>24000</v>
      </c>
      <c r="F154" t="s">
        <v>44</v>
      </c>
      <c r="J154">
        <f>J150</f>
        <v>0</v>
      </c>
      <c r="K154">
        <v>0</v>
      </c>
      <c r="L154">
        <f>SUM(L144:L145)/2</f>
        <v>0</v>
      </c>
      <c r="M154">
        <f>SUM(L146:L147)</f>
        <v>24000</v>
      </c>
      <c r="O154">
        <f>SUM(J154:N154)</f>
        <v>24000</v>
      </c>
    </row>
    <row r="155" spans="1:15" x14ac:dyDescent="0.2">
      <c r="A155" t="s">
        <v>76</v>
      </c>
      <c r="B155" t="s">
        <v>34</v>
      </c>
      <c r="C155" t="s">
        <v>45</v>
      </c>
      <c r="E155">
        <v>785</v>
      </c>
      <c r="F155" t="s">
        <v>46</v>
      </c>
    </row>
    <row r="156" spans="1:15" x14ac:dyDescent="0.2">
      <c r="A156" t="s">
        <v>76</v>
      </c>
      <c r="B156" t="s">
        <v>34</v>
      </c>
      <c r="C156" t="s">
        <v>47</v>
      </c>
      <c r="E156">
        <v>0</v>
      </c>
      <c r="F156" t="s">
        <v>48</v>
      </c>
      <c r="J156" s="1" t="s">
        <v>183</v>
      </c>
      <c r="K156" s="1">
        <f>SUMIFS(D106:D141,B106:B141,"Withdraw",F106:F141,"=*ROTH conversion*")</f>
        <v>24000</v>
      </c>
      <c r="L156" s="1"/>
      <c r="M156" s="1" t="s">
        <v>184</v>
      </c>
      <c r="N156" s="1">
        <f>SUMIFS(D82:D141,B82:B141,"Withdraw",F82:F141,"=*RMD*")</f>
        <v>0</v>
      </c>
    </row>
    <row r="157" spans="1:15" x14ac:dyDescent="0.2">
      <c r="A157" t="s">
        <v>76</v>
      </c>
      <c r="B157" t="s">
        <v>34</v>
      </c>
      <c r="C157" t="s">
        <v>49</v>
      </c>
      <c r="E157">
        <v>0</v>
      </c>
      <c r="F157" t="s">
        <v>50</v>
      </c>
    </row>
    <row r="158" spans="1:15" x14ac:dyDescent="0.2">
      <c r="A158" t="s">
        <v>77</v>
      </c>
      <c r="B158" t="s">
        <v>7</v>
      </c>
      <c r="C158" t="s">
        <v>8</v>
      </c>
      <c r="D158">
        <v>2000</v>
      </c>
      <c r="E158">
        <v>46000</v>
      </c>
      <c r="F158" t="s">
        <v>9</v>
      </c>
    </row>
    <row r="159" spans="1:15" x14ac:dyDescent="0.2">
      <c r="A159" t="s">
        <v>77</v>
      </c>
      <c r="B159" t="s">
        <v>10</v>
      </c>
      <c r="C159" t="s">
        <v>11</v>
      </c>
      <c r="D159">
        <v>2000</v>
      </c>
      <c r="E159">
        <v>84000</v>
      </c>
      <c r="F159" t="s">
        <v>9</v>
      </c>
    </row>
    <row r="160" spans="1:15" x14ac:dyDescent="0.2">
      <c r="A160" t="s">
        <v>77</v>
      </c>
      <c r="B160" t="s">
        <v>12</v>
      </c>
      <c r="C160" t="s">
        <v>13</v>
      </c>
      <c r="D160">
        <v>65.42</v>
      </c>
      <c r="E160">
        <v>117579.58</v>
      </c>
      <c r="F160" t="s">
        <v>14</v>
      </c>
    </row>
    <row r="161" spans="1:6" x14ac:dyDescent="0.2">
      <c r="A161" t="s">
        <v>78</v>
      </c>
      <c r="B161" t="s">
        <v>7</v>
      </c>
      <c r="C161" t="s">
        <v>8</v>
      </c>
      <c r="D161">
        <v>2000</v>
      </c>
      <c r="E161">
        <v>44000</v>
      </c>
      <c r="F161" t="s">
        <v>9</v>
      </c>
    </row>
    <row r="162" spans="1:6" x14ac:dyDescent="0.2">
      <c r="A162" t="s">
        <v>78</v>
      </c>
      <c r="B162" t="s">
        <v>10</v>
      </c>
      <c r="C162" t="s">
        <v>11</v>
      </c>
      <c r="D162">
        <v>2000</v>
      </c>
      <c r="E162">
        <v>86000</v>
      </c>
      <c r="F162" t="s">
        <v>9</v>
      </c>
    </row>
    <row r="163" spans="1:6" x14ac:dyDescent="0.2">
      <c r="A163" t="s">
        <v>78</v>
      </c>
      <c r="B163" t="s">
        <v>12</v>
      </c>
      <c r="C163" t="s">
        <v>13</v>
      </c>
      <c r="D163">
        <v>65.42</v>
      </c>
      <c r="E163">
        <v>117514.16</v>
      </c>
      <c r="F163" t="s">
        <v>14</v>
      </c>
    </row>
    <row r="164" spans="1:6" x14ac:dyDescent="0.2">
      <c r="A164" t="s">
        <v>79</v>
      </c>
      <c r="B164" t="s">
        <v>7</v>
      </c>
      <c r="C164" t="s">
        <v>8</v>
      </c>
      <c r="D164">
        <v>2000</v>
      </c>
      <c r="E164">
        <v>42000</v>
      </c>
      <c r="F164" t="s">
        <v>9</v>
      </c>
    </row>
    <row r="165" spans="1:6" x14ac:dyDescent="0.2">
      <c r="A165" t="s">
        <v>79</v>
      </c>
      <c r="B165" t="s">
        <v>10</v>
      </c>
      <c r="C165" t="s">
        <v>11</v>
      </c>
      <c r="D165">
        <v>2000</v>
      </c>
      <c r="E165">
        <v>88000</v>
      </c>
      <c r="F165" t="s">
        <v>9</v>
      </c>
    </row>
    <row r="166" spans="1:6" x14ac:dyDescent="0.2">
      <c r="A166" t="s">
        <v>79</v>
      </c>
      <c r="B166" t="s">
        <v>12</v>
      </c>
      <c r="C166" t="s">
        <v>13</v>
      </c>
      <c r="D166">
        <v>65.42</v>
      </c>
      <c r="E166">
        <v>117448.74</v>
      </c>
      <c r="F166" t="s">
        <v>14</v>
      </c>
    </row>
    <row r="167" spans="1:6" x14ac:dyDescent="0.2">
      <c r="A167" t="s">
        <v>80</v>
      </c>
      <c r="B167" t="s">
        <v>7</v>
      </c>
      <c r="C167" t="s">
        <v>8</v>
      </c>
      <c r="D167">
        <v>2000</v>
      </c>
      <c r="E167">
        <v>40000</v>
      </c>
      <c r="F167" t="s">
        <v>9</v>
      </c>
    </row>
    <row r="168" spans="1:6" x14ac:dyDescent="0.2">
      <c r="A168" t="s">
        <v>80</v>
      </c>
      <c r="B168" t="s">
        <v>10</v>
      </c>
      <c r="C168" t="s">
        <v>11</v>
      </c>
      <c r="D168">
        <v>2000</v>
      </c>
      <c r="E168">
        <v>90000</v>
      </c>
      <c r="F168" t="s">
        <v>9</v>
      </c>
    </row>
    <row r="169" spans="1:6" x14ac:dyDescent="0.2">
      <c r="A169" t="s">
        <v>80</v>
      </c>
      <c r="B169" t="s">
        <v>12</v>
      </c>
      <c r="C169" t="s">
        <v>13</v>
      </c>
      <c r="D169">
        <v>65.42</v>
      </c>
      <c r="E169">
        <v>117383.32</v>
      </c>
      <c r="F169" t="s">
        <v>14</v>
      </c>
    </row>
    <row r="170" spans="1:6" x14ac:dyDescent="0.2">
      <c r="A170" t="s">
        <v>81</v>
      </c>
      <c r="B170" t="s">
        <v>7</v>
      </c>
      <c r="C170" t="s">
        <v>8</v>
      </c>
      <c r="D170">
        <v>2000</v>
      </c>
      <c r="E170">
        <v>38000</v>
      </c>
      <c r="F170" t="s">
        <v>9</v>
      </c>
    </row>
    <row r="171" spans="1:6" x14ac:dyDescent="0.2">
      <c r="A171" t="s">
        <v>81</v>
      </c>
      <c r="B171" t="s">
        <v>10</v>
      </c>
      <c r="C171" t="s">
        <v>11</v>
      </c>
      <c r="D171">
        <v>2000</v>
      </c>
      <c r="E171">
        <v>92000</v>
      </c>
      <c r="F171" t="s">
        <v>9</v>
      </c>
    </row>
    <row r="172" spans="1:6" x14ac:dyDescent="0.2">
      <c r="A172" t="s">
        <v>81</v>
      </c>
      <c r="B172" t="s">
        <v>12</v>
      </c>
      <c r="C172" t="s">
        <v>13</v>
      </c>
      <c r="D172">
        <v>65.41</v>
      </c>
      <c r="E172">
        <v>117317.91</v>
      </c>
      <c r="F172" t="s">
        <v>14</v>
      </c>
    </row>
    <row r="173" spans="1:6" x14ac:dyDescent="0.2">
      <c r="A173" t="s">
        <v>82</v>
      </c>
      <c r="B173" t="s">
        <v>7</v>
      </c>
      <c r="C173" t="s">
        <v>8</v>
      </c>
      <c r="D173">
        <v>2000</v>
      </c>
      <c r="E173">
        <v>36000</v>
      </c>
      <c r="F173" t="s">
        <v>9</v>
      </c>
    </row>
    <row r="174" spans="1:6" x14ac:dyDescent="0.2">
      <c r="A174" t="s">
        <v>82</v>
      </c>
      <c r="B174" t="s">
        <v>10</v>
      </c>
      <c r="C174" t="s">
        <v>11</v>
      </c>
      <c r="D174">
        <v>2000</v>
      </c>
      <c r="E174">
        <v>94000</v>
      </c>
      <c r="F174" t="s">
        <v>9</v>
      </c>
    </row>
    <row r="175" spans="1:6" x14ac:dyDescent="0.2">
      <c r="A175" t="s">
        <v>82</v>
      </c>
      <c r="B175" t="s">
        <v>12</v>
      </c>
      <c r="C175" t="s">
        <v>13</v>
      </c>
      <c r="D175">
        <v>65.42</v>
      </c>
      <c r="E175">
        <v>117252.49</v>
      </c>
      <c r="F175" t="s">
        <v>14</v>
      </c>
    </row>
    <row r="176" spans="1:6" x14ac:dyDescent="0.2">
      <c r="A176" t="s">
        <v>83</v>
      </c>
      <c r="B176" t="s">
        <v>7</v>
      </c>
      <c r="C176" t="s">
        <v>8</v>
      </c>
      <c r="D176">
        <v>2000</v>
      </c>
      <c r="E176">
        <v>34000</v>
      </c>
      <c r="F176" t="s">
        <v>9</v>
      </c>
    </row>
    <row r="177" spans="1:6" x14ac:dyDescent="0.2">
      <c r="A177" t="s">
        <v>83</v>
      </c>
      <c r="B177" t="s">
        <v>10</v>
      </c>
      <c r="C177" t="s">
        <v>11</v>
      </c>
      <c r="D177">
        <v>2000</v>
      </c>
      <c r="E177">
        <v>96000</v>
      </c>
      <c r="F177" t="s">
        <v>9</v>
      </c>
    </row>
    <row r="178" spans="1:6" x14ac:dyDescent="0.2">
      <c r="A178" t="s">
        <v>83</v>
      </c>
      <c r="B178" t="s">
        <v>12</v>
      </c>
      <c r="C178" t="s">
        <v>13</v>
      </c>
      <c r="D178">
        <v>65.41</v>
      </c>
      <c r="E178">
        <v>117187.08</v>
      </c>
      <c r="F178" t="s">
        <v>14</v>
      </c>
    </row>
    <row r="179" spans="1:6" x14ac:dyDescent="0.2">
      <c r="A179" t="s">
        <v>84</v>
      </c>
      <c r="B179" t="s">
        <v>7</v>
      </c>
      <c r="C179" t="s">
        <v>8</v>
      </c>
      <c r="D179">
        <v>2000</v>
      </c>
      <c r="E179">
        <v>32000</v>
      </c>
      <c r="F179" t="s">
        <v>9</v>
      </c>
    </row>
    <row r="180" spans="1:6" x14ac:dyDescent="0.2">
      <c r="A180" t="s">
        <v>84</v>
      </c>
      <c r="B180" t="s">
        <v>10</v>
      </c>
      <c r="C180" t="s">
        <v>11</v>
      </c>
      <c r="D180">
        <v>2000</v>
      </c>
      <c r="E180">
        <v>98000</v>
      </c>
      <c r="F180" t="s">
        <v>9</v>
      </c>
    </row>
    <row r="181" spans="1:6" x14ac:dyDescent="0.2">
      <c r="A181" t="s">
        <v>84</v>
      </c>
      <c r="B181" t="s">
        <v>12</v>
      </c>
      <c r="C181" t="s">
        <v>13</v>
      </c>
      <c r="D181">
        <v>65.41</v>
      </c>
      <c r="E181">
        <v>117121.67</v>
      </c>
      <c r="F181" t="s">
        <v>14</v>
      </c>
    </row>
    <row r="182" spans="1:6" x14ac:dyDescent="0.2">
      <c r="A182" t="s">
        <v>85</v>
      </c>
      <c r="B182" t="s">
        <v>7</v>
      </c>
      <c r="C182" t="s">
        <v>8</v>
      </c>
      <c r="D182">
        <v>2000</v>
      </c>
      <c r="E182">
        <v>30000</v>
      </c>
      <c r="F182" t="s">
        <v>9</v>
      </c>
    </row>
    <row r="183" spans="1:6" x14ac:dyDescent="0.2">
      <c r="A183" t="s">
        <v>85</v>
      </c>
      <c r="B183" t="s">
        <v>10</v>
      </c>
      <c r="C183" t="s">
        <v>11</v>
      </c>
      <c r="D183">
        <v>2000</v>
      </c>
      <c r="E183">
        <v>100000</v>
      </c>
      <c r="F183" t="s">
        <v>9</v>
      </c>
    </row>
    <row r="184" spans="1:6" x14ac:dyDescent="0.2">
      <c r="A184" t="s">
        <v>85</v>
      </c>
      <c r="B184" t="s">
        <v>12</v>
      </c>
      <c r="C184" t="s">
        <v>13</v>
      </c>
      <c r="D184">
        <v>65.41</v>
      </c>
      <c r="E184">
        <v>117056.26</v>
      </c>
      <c r="F184" t="s">
        <v>14</v>
      </c>
    </row>
    <row r="185" spans="1:6" x14ac:dyDescent="0.2">
      <c r="A185" t="s">
        <v>86</v>
      </c>
      <c r="B185" t="s">
        <v>7</v>
      </c>
      <c r="C185" t="s">
        <v>8</v>
      </c>
      <c r="D185">
        <v>2000</v>
      </c>
      <c r="E185">
        <v>28000</v>
      </c>
      <c r="F185" t="s">
        <v>9</v>
      </c>
    </row>
    <row r="186" spans="1:6" x14ac:dyDescent="0.2">
      <c r="A186" t="s">
        <v>86</v>
      </c>
      <c r="B186" t="s">
        <v>10</v>
      </c>
      <c r="C186" t="s">
        <v>11</v>
      </c>
      <c r="D186">
        <v>2000</v>
      </c>
      <c r="E186">
        <v>102000</v>
      </c>
      <c r="F186" t="s">
        <v>9</v>
      </c>
    </row>
    <row r="187" spans="1:6" x14ac:dyDescent="0.2">
      <c r="A187" t="s">
        <v>86</v>
      </c>
      <c r="B187" t="s">
        <v>12</v>
      </c>
      <c r="C187" t="s">
        <v>13</v>
      </c>
      <c r="D187">
        <v>65.41</v>
      </c>
      <c r="E187">
        <v>116990.85</v>
      </c>
      <c r="F187" t="s">
        <v>14</v>
      </c>
    </row>
    <row r="188" spans="1:6" x14ac:dyDescent="0.2">
      <c r="A188" t="s">
        <v>87</v>
      </c>
      <c r="B188" t="s">
        <v>7</v>
      </c>
      <c r="C188" t="s">
        <v>8</v>
      </c>
      <c r="D188">
        <v>2000</v>
      </c>
      <c r="E188">
        <v>26000</v>
      </c>
      <c r="F188" t="s">
        <v>9</v>
      </c>
    </row>
    <row r="189" spans="1:6" x14ac:dyDescent="0.2">
      <c r="A189" t="s">
        <v>87</v>
      </c>
      <c r="B189" t="s">
        <v>10</v>
      </c>
      <c r="C189" t="s">
        <v>11</v>
      </c>
      <c r="D189">
        <v>2000</v>
      </c>
      <c r="E189">
        <v>104000</v>
      </c>
      <c r="F189" t="s">
        <v>9</v>
      </c>
    </row>
    <row r="190" spans="1:6" x14ac:dyDescent="0.2">
      <c r="A190" t="s">
        <v>87</v>
      </c>
      <c r="B190" t="s">
        <v>12</v>
      </c>
      <c r="C190" t="s">
        <v>13</v>
      </c>
      <c r="D190">
        <v>65.41</v>
      </c>
      <c r="E190">
        <v>116925.44</v>
      </c>
      <c r="F190" t="s">
        <v>14</v>
      </c>
    </row>
    <row r="191" spans="1:6" x14ac:dyDescent="0.2">
      <c r="A191" t="s">
        <v>88</v>
      </c>
      <c r="B191" t="s">
        <v>7</v>
      </c>
      <c r="C191" t="s">
        <v>8</v>
      </c>
      <c r="D191">
        <v>2000</v>
      </c>
      <c r="E191">
        <v>24000</v>
      </c>
      <c r="F191" t="s">
        <v>9</v>
      </c>
    </row>
    <row r="192" spans="1:6" x14ac:dyDescent="0.2">
      <c r="A192" t="s">
        <v>88</v>
      </c>
      <c r="B192" t="s">
        <v>10</v>
      </c>
      <c r="C192" t="s">
        <v>11</v>
      </c>
      <c r="D192">
        <v>2000</v>
      </c>
      <c r="E192">
        <v>106000</v>
      </c>
      <c r="F192" t="s">
        <v>9</v>
      </c>
    </row>
    <row r="193" spans="1:15" x14ac:dyDescent="0.2">
      <c r="A193" t="s">
        <v>88</v>
      </c>
      <c r="B193" t="s">
        <v>12</v>
      </c>
      <c r="C193" t="s">
        <v>13</v>
      </c>
      <c r="D193">
        <v>65.44</v>
      </c>
      <c r="E193">
        <v>116860</v>
      </c>
      <c r="F193" t="s">
        <v>14</v>
      </c>
    </row>
    <row r="194" spans="1:15" x14ac:dyDescent="0.2">
      <c r="A194" t="s">
        <v>89</v>
      </c>
      <c r="B194" t="s">
        <v>27</v>
      </c>
      <c r="C194" t="s">
        <v>13</v>
      </c>
      <c r="E194">
        <v>116860</v>
      </c>
      <c r="F194" t="s">
        <v>28</v>
      </c>
      <c r="J194">
        <f>SUMIFS(D158:D193,B158:B193,"Deposit",C158:C193,"Savings")</f>
        <v>0</v>
      </c>
      <c r="K194">
        <f>SUMIFS(D158:D193,B158:B193,"Payment",C158:C193,"Savings")</f>
        <v>785</v>
      </c>
      <c r="L194">
        <f>SUMIFS(D158:D193,B158:B193,"Withdraw",C158:C193,"Savings")</f>
        <v>0</v>
      </c>
      <c r="M194">
        <f>M142+J194-K194-L194</f>
        <v>116860</v>
      </c>
    </row>
    <row r="195" spans="1:15" x14ac:dyDescent="0.2">
      <c r="A195" t="s">
        <v>89</v>
      </c>
      <c r="B195" t="s">
        <v>27</v>
      </c>
      <c r="C195" t="s">
        <v>29</v>
      </c>
      <c r="E195">
        <v>120000</v>
      </c>
      <c r="F195" t="s">
        <v>28</v>
      </c>
      <c r="J195">
        <f>SUMIFS(D158:D193,B158:B193,"Deposit",C158:C193,"Savings2")</f>
        <v>0</v>
      </c>
      <c r="L195">
        <f>SUMIFS(D158:D193,B158:B193,"Withdraw",C158:C193,"Savings2")</f>
        <v>0</v>
      </c>
      <c r="M195">
        <f>M143+J195-K195-L195</f>
        <v>120000</v>
      </c>
    </row>
    <row r="196" spans="1:15" x14ac:dyDescent="0.2">
      <c r="A196" t="s">
        <v>89</v>
      </c>
      <c r="B196" t="s">
        <v>27</v>
      </c>
      <c r="C196" t="s">
        <v>30</v>
      </c>
      <c r="E196">
        <v>120000</v>
      </c>
      <c r="F196" t="s">
        <v>28</v>
      </c>
      <c r="J196">
        <f>SUMIFS(D158:D193,B158:B193,"Deposit",C158:C193,"Brokerage")</f>
        <v>0</v>
      </c>
      <c r="L196">
        <f>SUMIFS(D158:D193,B158:B193,"Withdraw",C158:C193,"Brokerage")</f>
        <v>0</v>
      </c>
      <c r="M196">
        <f>M144+J196-K196-L196</f>
        <v>120000</v>
      </c>
    </row>
    <row r="197" spans="1:15" x14ac:dyDescent="0.2">
      <c r="A197" t="s">
        <v>89</v>
      </c>
      <c r="B197" t="s">
        <v>27</v>
      </c>
      <c r="C197" t="s">
        <v>31</v>
      </c>
      <c r="E197">
        <v>120000</v>
      </c>
      <c r="F197" t="s">
        <v>28</v>
      </c>
      <c r="J197">
        <f>SUMIFS(D158:D193,B158:B193,"Deposit",C158:C193,"Brokerage2")</f>
        <v>0</v>
      </c>
      <c r="L197">
        <f>SUMIFS(D158:D193,B158:B193,"Withdraw",C158:C193,"Brokerage2")</f>
        <v>0</v>
      </c>
      <c r="M197">
        <f>M145+J197-K197-L197</f>
        <v>120000</v>
      </c>
    </row>
    <row r="198" spans="1:15" x14ac:dyDescent="0.2">
      <c r="A198" t="s">
        <v>89</v>
      </c>
      <c r="B198" t="s">
        <v>27</v>
      </c>
      <c r="C198" t="s">
        <v>8</v>
      </c>
      <c r="E198">
        <v>24000</v>
      </c>
      <c r="F198" t="s">
        <v>28</v>
      </c>
      <c r="J198">
        <f>SUMIFS(D158:D193,B158:B193,"Deposit",C158:C193,"IRA")</f>
        <v>0</v>
      </c>
      <c r="L198">
        <f>SUMIFS(D158:D193,B158:B193,"Withdraw",C158:C193,"IRA")</f>
        <v>24000</v>
      </c>
      <c r="M198">
        <f>M146+J198-K198-L198</f>
        <v>24000</v>
      </c>
    </row>
    <row r="199" spans="1:15" x14ac:dyDescent="0.2">
      <c r="A199" t="s">
        <v>89</v>
      </c>
      <c r="B199" t="s">
        <v>27</v>
      </c>
      <c r="C199" t="s">
        <v>32</v>
      </c>
      <c r="E199">
        <v>120000</v>
      </c>
      <c r="F199" t="s">
        <v>28</v>
      </c>
      <c r="J199">
        <f>SUMIFS(D158:D193,B158:B193,"Deposit",C158:C193,"IRA2")</f>
        <v>0</v>
      </c>
      <c r="L199">
        <f>SUMIFS(D158:D193,B158:B193,"Withdraw",C158:C193,"IRA2")</f>
        <v>0</v>
      </c>
      <c r="M199">
        <f>M147+J199-K199-L199</f>
        <v>120000</v>
      </c>
    </row>
    <row r="200" spans="1:15" x14ac:dyDescent="0.2">
      <c r="A200" t="s">
        <v>89</v>
      </c>
      <c r="B200" t="s">
        <v>27</v>
      </c>
      <c r="C200" t="s">
        <v>11</v>
      </c>
      <c r="E200">
        <v>106000</v>
      </c>
      <c r="F200" t="s">
        <v>28</v>
      </c>
      <c r="J200">
        <f>SUMIFS(D158:D193,B158:B193,"Deposit",C158:C193,"Roth")</f>
        <v>24000</v>
      </c>
      <c r="L200">
        <f>SUMIFS(D158:D193,B158:B193,"Withdraw",C158:C193,"Roth")</f>
        <v>0</v>
      </c>
      <c r="M200">
        <f>M148+J200-K200-L200</f>
        <v>106000</v>
      </c>
    </row>
    <row r="201" spans="1:15" x14ac:dyDescent="0.2">
      <c r="A201" t="s">
        <v>89</v>
      </c>
      <c r="B201" t="s">
        <v>27</v>
      </c>
      <c r="C201" t="s">
        <v>33</v>
      </c>
      <c r="E201">
        <v>10000</v>
      </c>
      <c r="F201" t="s">
        <v>28</v>
      </c>
      <c r="J201">
        <f>SUMIFS(D158:D193,B158:B193,"Deposit",C158:C193,"Roth2")</f>
        <v>0</v>
      </c>
      <c r="L201">
        <f>SUMIFS(D158:D193,B158:B193,"Withdraw",C158:C193,"Roth2")</f>
        <v>0</v>
      </c>
      <c r="M201">
        <f>M149+J201-K201-L201</f>
        <v>10000</v>
      </c>
    </row>
    <row r="202" spans="1:15" x14ac:dyDescent="0.2">
      <c r="A202" t="s">
        <v>89</v>
      </c>
      <c r="B202" t="s">
        <v>34</v>
      </c>
      <c r="C202" t="s">
        <v>35</v>
      </c>
      <c r="E202">
        <v>0</v>
      </c>
      <c r="F202" t="s">
        <v>36</v>
      </c>
      <c r="J202">
        <f>SUMIFS(D158:D193,C158:C193,"Savings",B158:B193,"Deposit",F158:F193,"=*income*")</f>
        <v>0</v>
      </c>
      <c r="K202">
        <f>J202*6.2%</f>
        <v>0</v>
      </c>
    </row>
    <row r="203" spans="1:15" x14ac:dyDescent="0.2">
      <c r="A203" t="s">
        <v>89</v>
      </c>
      <c r="B203" t="s">
        <v>34</v>
      </c>
      <c r="C203" t="s">
        <v>37</v>
      </c>
      <c r="E203">
        <v>0</v>
      </c>
      <c r="F203" t="s">
        <v>38</v>
      </c>
      <c r="J203">
        <f>J202</f>
        <v>0</v>
      </c>
      <c r="K203">
        <f>J203*1.45%</f>
        <v>0</v>
      </c>
    </row>
    <row r="204" spans="1:15" x14ac:dyDescent="0.2">
      <c r="A204" t="s">
        <v>89</v>
      </c>
      <c r="B204" t="s">
        <v>34</v>
      </c>
      <c r="C204" t="s">
        <v>39</v>
      </c>
      <c r="E204">
        <v>0</v>
      </c>
      <c r="F204" t="s">
        <v>40</v>
      </c>
    </row>
    <row r="205" spans="1:15" x14ac:dyDescent="0.2">
      <c r="A205" t="s">
        <v>89</v>
      </c>
      <c r="B205" t="s">
        <v>34</v>
      </c>
      <c r="C205" t="s">
        <v>41</v>
      </c>
      <c r="E205">
        <v>0</v>
      </c>
      <c r="F205" t="s">
        <v>42</v>
      </c>
    </row>
    <row r="206" spans="1:15" x14ac:dyDescent="0.2">
      <c r="A206" t="s">
        <v>89</v>
      </c>
      <c r="B206" t="s">
        <v>34</v>
      </c>
      <c r="C206" t="s">
        <v>43</v>
      </c>
      <c r="E206">
        <v>24000</v>
      </c>
      <c r="F206" t="s">
        <v>44</v>
      </c>
      <c r="J206">
        <f>J202</f>
        <v>0</v>
      </c>
      <c r="K206">
        <v>0</v>
      </c>
      <c r="L206">
        <f>SUM(L196:L197)/2</f>
        <v>0</v>
      </c>
      <c r="M206">
        <f>SUM(L198:L199)</f>
        <v>24000</v>
      </c>
      <c r="O206">
        <f>SUM(J206:N206)</f>
        <v>24000</v>
      </c>
    </row>
    <row r="207" spans="1:15" x14ac:dyDescent="0.2">
      <c r="A207" t="s">
        <v>89</v>
      </c>
      <c r="B207" t="s">
        <v>34</v>
      </c>
      <c r="C207" t="s">
        <v>45</v>
      </c>
      <c r="E207">
        <v>785</v>
      </c>
      <c r="F207" t="s">
        <v>46</v>
      </c>
    </row>
    <row r="208" spans="1:15" x14ac:dyDescent="0.2">
      <c r="A208" t="s">
        <v>89</v>
      </c>
      <c r="B208" t="s">
        <v>34</v>
      </c>
      <c r="C208" t="s">
        <v>47</v>
      </c>
      <c r="E208">
        <v>0</v>
      </c>
      <c r="F208" t="s">
        <v>48</v>
      </c>
      <c r="J208" s="1" t="s">
        <v>183</v>
      </c>
      <c r="K208" s="1">
        <f>SUMIFS(D158:D193,B158:B193,"Withdraw",F158:F193,"=*ROTH conversion*")</f>
        <v>24000</v>
      </c>
      <c r="L208" s="1"/>
      <c r="M208" s="1" t="s">
        <v>184</v>
      </c>
      <c r="N208" s="1">
        <f>SUMIFS(D134:D193,B134:B193,"Withdraw",F134:F193,"=*RMD*")</f>
        <v>0</v>
      </c>
    </row>
    <row r="209" spans="1:6" x14ac:dyDescent="0.2">
      <c r="A209" t="s">
        <v>89</v>
      </c>
      <c r="B209" t="s">
        <v>34</v>
      </c>
      <c r="C209" t="s">
        <v>49</v>
      </c>
      <c r="E209">
        <v>0</v>
      </c>
      <c r="F209" t="s">
        <v>50</v>
      </c>
    </row>
    <row r="210" spans="1:6" x14ac:dyDescent="0.2">
      <c r="A210" t="s">
        <v>90</v>
      </c>
      <c r="B210" t="s">
        <v>7</v>
      </c>
      <c r="C210" t="s">
        <v>8</v>
      </c>
      <c r="D210">
        <v>2000</v>
      </c>
      <c r="E210">
        <v>22000</v>
      </c>
      <c r="F210" t="s">
        <v>9</v>
      </c>
    </row>
    <row r="211" spans="1:6" x14ac:dyDescent="0.2">
      <c r="A211" t="s">
        <v>90</v>
      </c>
      <c r="B211" t="s">
        <v>10</v>
      </c>
      <c r="C211" t="s">
        <v>11</v>
      </c>
      <c r="D211">
        <v>2000</v>
      </c>
      <c r="E211">
        <v>108000</v>
      </c>
      <c r="F211" t="s">
        <v>9</v>
      </c>
    </row>
    <row r="212" spans="1:6" x14ac:dyDescent="0.2">
      <c r="A212" t="s">
        <v>90</v>
      </c>
      <c r="B212" t="s">
        <v>12</v>
      </c>
      <c r="C212" t="s">
        <v>13</v>
      </c>
      <c r="D212">
        <v>65.42</v>
      </c>
      <c r="E212">
        <v>116794.58</v>
      </c>
      <c r="F212" t="s">
        <v>14</v>
      </c>
    </row>
    <row r="213" spans="1:6" x14ac:dyDescent="0.2">
      <c r="A213" t="s">
        <v>91</v>
      </c>
      <c r="B213" t="s">
        <v>7</v>
      </c>
      <c r="C213" t="s">
        <v>8</v>
      </c>
      <c r="D213">
        <v>2000</v>
      </c>
      <c r="E213">
        <v>20000</v>
      </c>
      <c r="F213" t="s">
        <v>9</v>
      </c>
    </row>
    <row r="214" spans="1:6" x14ac:dyDescent="0.2">
      <c r="A214" t="s">
        <v>91</v>
      </c>
      <c r="B214" t="s">
        <v>10</v>
      </c>
      <c r="C214" t="s">
        <v>11</v>
      </c>
      <c r="D214">
        <v>2000</v>
      </c>
      <c r="E214">
        <v>110000</v>
      </c>
      <c r="F214" t="s">
        <v>9</v>
      </c>
    </row>
    <row r="215" spans="1:6" x14ac:dyDescent="0.2">
      <c r="A215" t="s">
        <v>91</v>
      </c>
      <c r="B215" t="s">
        <v>12</v>
      </c>
      <c r="C215" t="s">
        <v>13</v>
      </c>
      <c r="D215">
        <v>65.42</v>
      </c>
      <c r="E215">
        <v>116729.16</v>
      </c>
      <c r="F215" t="s">
        <v>14</v>
      </c>
    </row>
    <row r="216" spans="1:6" x14ac:dyDescent="0.2">
      <c r="A216" t="s">
        <v>92</v>
      </c>
      <c r="B216" t="s">
        <v>7</v>
      </c>
      <c r="C216" t="s">
        <v>8</v>
      </c>
      <c r="D216">
        <v>2000</v>
      </c>
      <c r="E216">
        <v>18000</v>
      </c>
      <c r="F216" t="s">
        <v>9</v>
      </c>
    </row>
    <row r="217" spans="1:6" x14ac:dyDescent="0.2">
      <c r="A217" t="s">
        <v>92</v>
      </c>
      <c r="B217" t="s">
        <v>10</v>
      </c>
      <c r="C217" t="s">
        <v>11</v>
      </c>
      <c r="D217">
        <v>2000</v>
      </c>
      <c r="E217">
        <v>112000</v>
      </c>
      <c r="F217" t="s">
        <v>9</v>
      </c>
    </row>
    <row r="218" spans="1:6" x14ac:dyDescent="0.2">
      <c r="A218" t="s">
        <v>92</v>
      </c>
      <c r="B218" t="s">
        <v>12</v>
      </c>
      <c r="C218" t="s">
        <v>13</v>
      </c>
      <c r="D218">
        <v>65.42</v>
      </c>
      <c r="E218">
        <v>116663.74</v>
      </c>
      <c r="F218" t="s">
        <v>14</v>
      </c>
    </row>
    <row r="219" spans="1:6" x14ac:dyDescent="0.2">
      <c r="A219" t="s">
        <v>93</v>
      </c>
      <c r="B219" t="s">
        <v>7</v>
      </c>
      <c r="C219" t="s">
        <v>8</v>
      </c>
      <c r="D219">
        <v>2000</v>
      </c>
      <c r="E219">
        <v>16000</v>
      </c>
      <c r="F219" t="s">
        <v>9</v>
      </c>
    </row>
    <row r="220" spans="1:6" x14ac:dyDescent="0.2">
      <c r="A220" t="s">
        <v>93</v>
      </c>
      <c r="B220" t="s">
        <v>10</v>
      </c>
      <c r="C220" t="s">
        <v>11</v>
      </c>
      <c r="D220">
        <v>2000</v>
      </c>
      <c r="E220">
        <v>114000</v>
      </c>
      <c r="F220" t="s">
        <v>9</v>
      </c>
    </row>
    <row r="221" spans="1:6" x14ac:dyDescent="0.2">
      <c r="A221" t="s">
        <v>93</v>
      </c>
      <c r="B221" t="s">
        <v>12</v>
      </c>
      <c r="C221" t="s">
        <v>13</v>
      </c>
      <c r="D221">
        <v>65.42</v>
      </c>
      <c r="E221">
        <v>116598.32</v>
      </c>
      <c r="F221" t="s">
        <v>14</v>
      </c>
    </row>
    <row r="222" spans="1:6" x14ac:dyDescent="0.2">
      <c r="A222" t="s">
        <v>94</v>
      </c>
      <c r="B222" t="s">
        <v>7</v>
      </c>
      <c r="C222" t="s">
        <v>8</v>
      </c>
      <c r="D222">
        <v>2000</v>
      </c>
      <c r="E222">
        <v>14000</v>
      </c>
      <c r="F222" t="s">
        <v>9</v>
      </c>
    </row>
    <row r="223" spans="1:6" x14ac:dyDescent="0.2">
      <c r="A223" t="s">
        <v>94</v>
      </c>
      <c r="B223" t="s">
        <v>10</v>
      </c>
      <c r="C223" t="s">
        <v>11</v>
      </c>
      <c r="D223">
        <v>2000</v>
      </c>
      <c r="E223">
        <v>116000</v>
      </c>
      <c r="F223" t="s">
        <v>9</v>
      </c>
    </row>
    <row r="224" spans="1:6" x14ac:dyDescent="0.2">
      <c r="A224" t="s">
        <v>94</v>
      </c>
      <c r="B224" t="s">
        <v>12</v>
      </c>
      <c r="C224" t="s">
        <v>13</v>
      </c>
      <c r="D224">
        <v>65.41</v>
      </c>
      <c r="E224">
        <v>116532.91</v>
      </c>
      <c r="F224" t="s">
        <v>14</v>
      </c>
    </row>
    <row r="225" spans="1:6" x14ac:dyDescent="0.2">
      <c r="A225" t="s">
        <v>95</v>
      </c>
      <c r="B225" t="s">
        <v>7</v>
      </c>
      <c r="C225" t="s">
        <v>8</v>
      </c>
      <c r="D225">
        <v>2000</v>
      </c>
      <c r="E225">
        <v>12000</v>
      </c>
      <c r="F225" t="s">
        <v>9</v>
      </c>
    </row>
    <row r="226" spans="1:6" x14ac:dyDescent="0.2">
      <c r="A226" t="s">
        <v>95</v>
      </c>
      <c r="B226" t="s">
        <v>10</v>
      </c>
      <c r="C226" t="s">
        <v>11</v>
      </c>
      <c r="D226">
        <v>2000</v>
      </c>
      <c r="E226">
        <v>118000</v>
      </c>
      <c r="F226" t="s">
        <v>9</v>
      </c>
    </row>
    <row r="227" spans="1:6" x14ac:dyDescent="0.2">
      <c r="A227" t="s">
        <v>95</v>
      </c>
      <c r="B227" t="s">
        <v>12</v>
      </c>
      <c r="C227" t="s">
        <v>13</v>
      </c>
      <c r="D227">
        <v>65.42</v>
      </c>
      <c r="E227">
        <v>116467.49</v>
      </c>
      <c r="F227" t="s">
        <v>14</v>
      </c>
    </row>
    <row r="228" spans="1:6" x14ac:dyDescent="0.2">
      <c r="A228" t="s">
        <v>96</v>
      </c>
      <c r="B228" t="s">
        <v>7</v>
      </c>
      <c r="C228" t="s">
        <v>8</v>
      </c>
      <c r="D228">
        <v>2000</v>
      </c>
      <c r="E228">
        <v>10000</v>
      </c>
      <c r="F228" t="s">
        <v>9</v>
      </c>
    </row>
    <row r="229" spans="1:6" x14ac:dyDescent="0.2">
      <c r="A229" t="s">
        <v>96</v>
      </c>
      <c r="B229" t="s">
        <v>10</v>
      </c>
      <c r="C229" t="s">
        <v>11</v>
      </c>
      <c r="D229">
        <v>2000</v>
      </c>
      <c r="E229">
        <v>120000</v>
      </c>
      <c r="F229" t="s">
        <v>9</v>
      </c>
    </row>
    <row r="230" spans="1:6" x14ac:dyDescent="0.2">
      <c r="A230" t="s">
        <v>96</v>
      </c>
      <c r="B230" t="s">
        <v>12</v>
      </c>
      <c r="C230" t="s">
        <v>13</v>
      </c>
      <c r="D230">
        <v>65.41</v>
      </c>
      <c r="E230">
        <v>116402.08</v>
      </c>
      <c r="F230" t="s">
        <v>14</v>
      </c>
    </row>
    <row r="231" spans="1:6" x14ac:dyDescent="0.2">
      <c r="A231" t="s">
        <v>97</v>
      </c>
      <c r="B231" t="s">
        <v>7</v>
      </c>
      <c r="C231" t="s">
        <v>8</v>
      </c>
      <c r="D231">
        <v>2000</v>
      </c>
      <c r="E231">
        <v>8000</v>
      </c>
      <c r="F231" t="s">
        <v>9</v>
      </c>
    </row>
    <row r="232" spans="1:6" x14ac:dyDescent="0.2">
      <c r="A232" t="s">
        <v>97</v>
      </c>
      <c r="B232" t="s">
        <v>10</v>
      </c>
      <c r="C232" t="s">
        <v>11</v>
      </c>
      <c r="D232">
        <v>2000</v>
      </c>
      <c r="E232">
        <v>122000</v>
      </c>
      <c r="F232" t="s">
        <v>9</v>
      </c>
    </row>
    <row r="233" spans="1:6" x14ac:dyDescent="0.2">
      <c r="A233" t="s">
        <v>97</v>
      </c>
      <c r="B233" t="s">
        <v>12</v>
      </c>
      <c r="C233" t="s">
        <v>13</v>
      </c>
      <c r="D233">
        <v>65.41</v>
      </c>
      <c r="E233">
        <v>116336.67</v>
      </c>
      <c r="F233" t="s">
        <v>14</v>
      </c>
    </row>
    <row r="234" spans="1:6" x14ac:dyDescent="0.2">
      <c r="A234" t="s">
        <v>98</v>
      </c>
      <c r="B234" t="s">
        <v>7</v>
      </c>
      <c r="C234" t="s">
        <v>8</v>
      </c>
      <c r="D234">
        <v>2000</v>
      </c>
      <c r="E234">
        <v>6000</v>
      </c>
      <c r="F234" t="s">
        <v>9</v>
      </c>
    </row>
    <row r="235" spans="1:6" x14ac:dyDescent="0.2">
      <c r="A235" t="s">
        <v>98</v>
      </c>
      <c r="B235" t="s">
        <v>10</v>
      </c>
      <c r="C235" t="s">
        <v>11</v>
      </c>
      <c r="D235">
        <v>2000</v>
      </c>
      <c r="E235">
        <v>124000</v>
      </c>
      <c r="F235" t="s">
        <v>9</v>
      </c>
    </row>
    <row r="236" spans="1:6" x14ac:dyDescent="0.2">
      <c r="A236" t="s">
        <v>98</v>
      </c>
      <c r="B236" t="s">
        <v>12</v>
      </c>
      <c r="C236" t="s">
        <v>13</v>
      </c>
      <c r="D236">
        <v>65.41</v>
      </c>
      <c r="E236">
        <v>116271.26</v>
      </c>
      <c r="F236" t="s">
        <v>14</v>
      </c>
    </row>
    <row r="237" spans="1:6" x14ac:dyDescent="0.2">
      <c r="A237" t="s">
        <v>99</v>
      </c>
      <c r="B237" t="s">
        <v>7</v>
      </c>
      <c r="C237" t="s">
        <v>8</v>
      </c>
      <c r="D237">
        <v>2000</v>
      </c>
      <c r="E237">
        <v>4000</v>
      </c>
      <c r="F237" t="s">
        <v>9</v>
      </c>
    </row>
    <row r="238" spans="1:6" x14ac:dyDescent="0.2">
      <c r="A238" t="s">
        <v>99</v>
      </c>
      <c r="B238" t="s">
        <v>10</v>
      </c>
      <c r="C238" t="s">
        <v>11</v>
      </c>
      <c r="D238">
        <v>2000</v>
      </c>
      <c r="E238">
        <v>126000</v>
      </c>
      <c r="F238" t="s">
        <v>9</v>
      </c>
    </row>
    <row r="239" spans="1:6" x14ac:dyDescent="0.2">
      <c r="A239" t="s">
        <v>99</v>
      </c>
      <c r="B239" t="s">
        <v>12</v>
      </c>
      <c r="C239" t="s">
        <v>13</v>
      </c>
      <c r="D239">
        <v>65.41</v>
      </c>
      <c r="E239">
        <v>116205.85</v>
      </c>
      <c r="F239" t="s">
        <v>14</v>
      </c>
    </row>
    <row r="240" spans="1:6" x14ac:dyDescent="0.2">
      <c r="A240" t="s">
        <v>100</v>
      </c>
      <c r="B240" t="s">
        <v>7</v>
      </c>
      <c r="C240" t="s">
        <v>8</v>
      </c>
      <c r="D240">
        <v>2000</v>
      </c>
      <c r="E240">
        <v>2000</v>
      </c>
      <c r="F240" t="s">
        <v>9</v>
      </c>
    </row>
    <row r="241" spans="1:13" x14ac:dyDescent="0.2">
      <c r="A241" t="s">
        <v>100</v>
      </c>
      <c r="B241" t="s">
        <v>10</v>
      </c>
      <c r="C241" t="s">
        <v>11</v>
      </c>
      <c r="D241">
        <v>2000</v>
      </c>
      <c r="E241">
        <v>128000</v>
      </c>
      <c r="F241" t="s">
        <v>9</v>
      </c>
    </row>
    <row r="242" spans="1:13" x14ac:dyDescent="0.2">
      <c r="A242" t="s">
        <v>100</v>
      </c>
      <c r="B242" t="s">
        <v>12</v>
      </c>
      <c r="C242" t="s">
        <v>13</v>
      </c>
      <c r="D242">
        <v>65.41</v>
      </c>
      <c r="E242">
        <v>116140.44</v>
      </c>
      <c r="F242" t="s">
        <v>14</v>
      </c>
    </row>
    <row r="243" spans="1:13" x14ac:dyDescent="0.2">
      <c r="A243" t="s">
        <v>101</v>
      </c>
      <c r="B243" t="s">
        <v>7</v>
      </c>
      <c r="C243" t="s">
        <v>8</v>
      </c>
      <c r="D243">
        <v>2000</v>
      </c>
      <c r="E243">
        <v>0</v>
      </c>
      <c r="F243" t="s">
        <v>9</v>
      </c>
    </row>
    <row r="244" spans="1:13" x14ac:dyDescent="0.2">
      <c r="A244" t="s">
        <v>101</v>
      </c>
      <c r="B244" t="s">
        <v>10</v>
      </c>
      <c r="C244" t="s">
        <v>11</v>
      </c>
      <c r="D244">
        <v>2000</v>
      </c>
      <c r="E244">
        <v>130000</v>
      </c>
      <c r="F244" t="s">
        <v>9</v>
      </c>
    </row>
    <row r="245" spans="1:13" x14ac:dyDescent="0.2">
      <c r="A245" t="s">
        <v>101</v>
      </c>
      <c r="B245" t="s">
        <v>12</v>
      </c>
      <c r="C245" t="s">
        <v>13</v>
      </c>
      <c r="D245">
        <v>65.44</v>
      </c>
      <c r="E245">
        <v>116075</v>
      </c>
      <c r="F245" t="s">
        <v>14</v>
      </c>
    </row>
    <row r="246" spans="1:13" x14ac:dyDescent="0.2">
      <c r="A246" t="s">
        <v>102</v>
      </c>
      <c r="B246" t="s">
        <v>27</v>
      </c>
      <c r="C246" t="s">
        <v>13</v>
      </c>
      <c r="E246">
        <v>116075</v>
      </c>
      <c r="F246" t="s">
        <v>28</v>
      </c>
      <c r="J246">
        <f>SUMIFS(D210:D245,B210:B245,"Deposit",C210:C245,"Savings")</f>
        <v>0</v>
      </c>
      <c r="K246">
        <f>SUMIFS(D210:D245,B210:B245,"Payment",C210:C245,"Savings")</f>
        <v>785</v>
      </c>
      <c r="L246">
        <f>SUMIFS(D210:D245,B210:B245,"Withdraw",C210:C245,"Savings")</f>
        <v>0</v>
      </c>
      <c r="M246">
        <f>M194+J246-K246-L246</f>
        <v>116075</v>
      </c>
    </row>
    <row r="247" spans="1:13" x14ac:dyDescent="0.2">
      <c r="A247" t="s">
        <v>102</v>
      </c>
      <c r="B247" t="s">
        <v>27</v>
      </c>
      <c r="C247" t="s">
        <v>29</v>
      </c>
      <c r="E247">
        <v>120000</v>
      </c>
      <c r="F247" t="s">
        <v>28</v>
      </c>
      <c r="J247">
        <f>SUMIFS(D210:D245,B210:B245,"Deposit",C210:C245,"Savings2")</f>
        <v>0</v>
      </c>
      <c r="L247">
        <f>SUMIFS(D210:D245,B210:B245,"Withdraw",C210:C245,"Savings2")</f>
        <v>0</v>
      </c>
      <c r="M247">
        <f>M195+J247-K247-L247</f>
        <v>120000</v>
      </c>
    </row>
    <row r="248" spans="1:13" x14ac:dyDescent="0.2">
      <c r="A248" t="s">
        <v>102</v>
      </c>
      <c r="B248" t="s">
        <v>27</v>
      </c>
      <c r="C248" t="s">
        <v>30</v>
      </c>
      <c r="E248">
        <v>120000</v>
      </c>
      <c r="F248" t="s">
        <v>28</v>
      </c>
      <c r="J248">
        <f>SUMIFS(D210:D245,B210:B245,"Deposit",C210:C245,"Brokerage")</f>
        <v>0</v>
      </c>
      <c r="L248">
        <f>SUMIFS(D210:D245,B210:B245,"Withdraw",C210:C245,"Brokerage")</f>
        <v>0</v>
      </c>
      <c r="M248">
        <f>M196+J248-K248-L248</f>
        <v>120000</v>
      </c>
    </row>
    <row r="249" spans="1:13" x14ac:dyDescent="0.2">
      <c r="A249" t="s">
        <v>102</v>
      </c>
      <c r="B249" t="s">
        <v>27</v>
      </c>
      <c r="C249" t="s">
        <v>31</v>
      </c>
      <c r="E249">
        <v>120000</v>
      </c>
      <c r="F249" t="s">
        <v>28</v>
      </c>
      <c r="J249">
        <f>SUMIFS(D210:D245,B210:B245,"Deposit",C210:C245,"Brokerage2")</f>
        <v>0</v>
      </c>
      <c r="L249">
        <f>SUMIFS(D210:D245,B210:B245,"Withdraw",C210:C245,"Brokerage2")</f>
        <v>0</v>
      </c>
      <c r="M249">
        <f>M197+J249-K249-L249</f>
        <v>120000</v>
      </c>
    </row>
    <row r="250" spans="1:13" x14ac:dyDescent="0.2">
      <c r="A250" t="s">
        <v>102</v>
      </c>
      <c r="B250" t="s">
        <v>27</v>
      </c>
      <c r="C250" t="s">
        <v>8</v>
      </c>
      <c r="E250">
        <v>0</v>
      </c>
      <c r="F250" t="s">
        <v>28</v>
      </c>
      <c r="J250">
        <f>SUMIFS(D210:D245,B210:B245,"Deposit",C210:C245,"IRA")</f>
        <v>0</v>
      </c>
      <c r="L250">
        <f>SUMIFS(D210:D245,B210:B245,"Withdraw",C210:C245,"IRA")</f>
        <v>24000</v>
      </c>
      <c r="M250">
        <f>M198+J250-K250-L250</f>
        <v>0</v>
      </c>
    </row>
    <row r="251" spans="1:13" x14ac:dyDescent="0.2">
      <c r="A251" t="s">
        <v>102</v>
      </c>
      <c r="B251" t="s">
        <v>27</v>
      </c>
      <c r="C251" t="s">
        <v>32</v>
      </c>
      <c r="E251">
        <v>120000</v>
      </c>
      <c r="F251" t="s">
        <v>28</v>
      </c>
      <c r="J251">
        <f>SUMIFS(D210:D245,B210:B245,"Deposit",C210:C245,"IRA2")</f>
        <v>0</v>
      </c>
      <c r="L251">
        <f>SUMIFS(D210:D245,B210:B245,"Withdraw",C210:C245,"IRA2")</f>
        <v>0</v>
      </c>
      <c r="M251">
        <f>M199+J251-K251-L251</f>
        <v>120000</v>
      </c>
    </row>
    <row r="252" spans="1:13" x14ac:dyDescent="0.2">
      <c r="A252" t="s">
        <v>102</v>
      </c>
      <c r="B252" t="s">
        <v>27</v>
      </c>
      <c r="C252" t="s">
        <v>11</v>
      </c>
      <c r="E252">
        <v>130000</v>
      </c>
      <c r="F252" t="s">
        <v>28</v>
      </c>
      <c r="J252">
        <f>SUMIFS(D210:D245,B210:B245,"Deposit",C210:C245,"Roth")</f>
        <v>24000</v>
      </c>
      <c r="L252">
        <f>SUMIFS(D210:D245,B210:B245,"Withdraw",C210:C245,"Roth")</f>
        <v>0</v>
      </c>
      <c r="M252">
        <f>M200+J252-K252-L252</f>
        <v>130000</v>
      </c>
    </row>
    <row r="253" spans="1:13" x14ac:dyDescent="0.2">
      <c r="A253" t="s">
        <v>102</v>
      </c>
      <c r="B253" t="s">
        <v>27</v>
      </c>
      <c r="C253" t="s">
        <v>33</v>
      </c>
      <c r="E253">
        <v>10000</v>
      </c>
      <c r="F253" t="s">
        <v>28</v>
      </c>
      <c r="J253">
        <f>SUMIFS(D210:D245,B210:B245,"Deposit",C210:C245,"Roth2")</f>
        <v>0</v>
      </c>
      <c r="L253">
        <f>SUMIFS(D210:D245,B210:B245,"Withdraw",C210:C245,"Roth2")</f>
        <v>0</v>
      </c>
      <c r="M253">
        <f>M201+J253-K253-L253</f>
        <v>10000</v>
      </c>
    </row>
    <row r="254" spans="1:13" x14ac:dyDescent="0.2">
      <c r="A254" t="s">
        <v>102</v>
      </c>
      <c r="B254" t="s">
        <v>34</v>
      </c>
      <c r="C254" t="s">
        <v>35</v>
      </c>
      <c r="E254">
        <v>0</v>
      </c>
      <c r="F254" t="s">
        <v>36</v>
      </c>
      <c r="J254">
        <f>SUMIFS(D210:D245,C210:C245,"Savings",B210:B245,"Deposit",F210:F245,"=*income*")</f>
        <v>0</v>
      </c>
      <c r="K254">
        <f>J254*6.2%</f>
        <v>0</v>
      </c>
    </row>
    <row r="255" spans="1:13" x14ac:dyDescent="0.2">
      <c r="A255" t="s">
        <v>102</v>
      </c>
      <c r="B255" t="s">
        <v>34</v>
      </c>
      <c r="C255" t="s">
        <v>37</v>
      </c>
      <c r="E255">
        <v>0</v>
      </c>
      <c r="F255" t="s">
        <v>38</v>
      </c>
      <c r="J255">
        <f>J254</f>
        <v>0</v>
      </c>
      <c r="K255">
        <f>J255*1.45%</f>
        <v>0</v>
      </c>
    </row>
    <row r="256" spans="1:13" x14ac:dyDescent="0.2">
      <c r="A256" t="s">
        <v>102</v>
      </c>
      <c r="B256" t="s">
        <v>34</v>
      </c>
      <c r="C256" t="s">
        <v>39</v>
      </c>
      <c r="E256">
        <v>0</v>
      </c>
      <c r="F256" t="s">
        <v>40</v>
      </c>
    </row>
    <row r="257" spans="1:15" x14ac:dyDescent="0.2">
      <c r="A257" t="s">
        <v>102</v>
      </c>
      <c r="B257" t="s">
        <v>34</v>
      </c>
      <c r="C257" t="s">
        <v>41</v>
      </c>
      <c r="E257">
        <v>0</v>
      </c>
      <c r="F257" t="s">
        <v>42</v>
      </c>
    </row>
    <row r="258" spans="1:15" x14ac:dyDescent="0.2">
      <c r="A258" t="s">
        <v>102</v>
      </c>
      <c r="B258" t="s">
        <v>34</v>
      </c>
      <c r="C258" t="s">
        <v>43</v>
      </c>
      <c r="E258">
        <v>24000</v>
      </c>
      <c r="F258" t="s">
        <v>44</v>
      </c>
      <c r="J258">
        <f>J254</f>
        <v>0</v>
      </c>
      <c r="K258">
        <v>0</v>
      </c>
      <c r="L258">
        <f>SUM(L248:L249)/2</f>
        <v>0</v>
      </c>
      <c r="M258">
        <f>SUM(L250:L251)</f>
        <v>24000</v>
      </c>
      <c r="O258">
        <f>SUM(J258:N258)</f>
        <v>24000</v>
      </c>
    </row>
    <row r="259" spans="1:15" x14ac:dyDescent="0.2">
      <c r="A259" t="s">
        <v>102</v>
      </c>
      <c r="B259" t="s">
        <v>34</v>
      </c>
      <c r="C259" t="s">
        <v>45</v>
      </c>
      <c r="E259">
        <v>785</v>
      </c>
      <c r="F259" t="s">
        <v>46</v>
      </c>
    </row>
    <row r="260" spans="1:15" x14ac:dyDescent="0.2">
      <c r="A260" t="s">
        <v>102</v>
      </c>
      <c r="B260" t="s">
        <v>34</v>
      </c>
      <c r="C260" t="s">
        <v>47</v>
      </c>
      <c r="E260">
        <v>0</v>
      </c>
      <c r="F260" t="s">
        <v>48</v>
      </c>
      <c r="J260" s="1" t="s">
        <v>183</v>
      </c>
      <c r="K260" s="1">
        <f>SUMIFS(D210:D245,B210:B245,"Withdraw",F210:F245,"=*ROTH conversion*")</f>
        <v>24000</v>
      </c>
      <c r="L260" s="1"/>
      <c r="M260" s="1" t="s">
        <v>184</v>
      </c>
      <c r="N260" s="1">
        <f>SUMIFS(D186:D245,B186:B245,"Withdraw",F186:F245,"=*RMD*")</f>
        <v>0</v>
      </c>
    </row>
    <row r="261" spans="1:15" x14ac:dyDescent="0.2">
      <c r="A261" t="s">
        <v>102</v>
      </c>
      <c r="B261" t="s">
        <v>34</v>
      </c>
      <c r="C261" t="s">
        <v>49</v>
      </c>
      <c r="E261">
        <v>0</v>
      </c>
      <c r="F261" t="s">
        <v>50</v>
      </c>
    </row>
    <row r="262" spans="1:15" x14ac:dyDescent="0.2">
      <c r="A262" t="s">
        <v>103</v>
      </c>
      <c r="B262" t="s">
        <v>7</v>
      </c>
      <c r="C262" t="s">
        <v>32</v>
      </c>
      <c r="D262">
        <v>2000</v>
      </c>
      <c r="E262">
        <v>118000</v>
      </c>
      <c r="F262" t="s">
        <v>9</v>
      </c>
    </row>
    <row r="263" spans="1:15" x14ac:dyDescent="0.2">
      <c r="A263" t="s">
        <v>103</v>
      </c>
      <c r="B263" t="s">
        <v>10</v>
      </c>
      <c r="C263" t="s">
        <v>11</v>
      </c>
      <c r="D263">
        <v>2000</v>
      </c>
      <c r="E263">
        <v>132000</v>
      </c>
      <c r="F263" t="s">
        <v>9</v>
      </c>
    </row>
    <row r="264" spans="1:15" x14ac:dyDescent="0.2">
      <c r="A264" t="s">
        <v>103</v>
      </c>
      <c r="B264" t="s">
        <v>12</v>
      </c>
      <c r="C264" t="s">
        <v>13</v>
      </c>
      <c r="D264">
        <v>65.42</v>
      </c>
      <c r="E264">
        <v>116009.58</v>
      </c>
      <c r="F264" t="s">
        <v>14</v>
      </c>
    </row>
    <row r="265" spans="1:15" x14ac:dyDescent="0.2">
      <c r="A265" t="s">
        <v>104</v>
      </c>
      <c r="B265" t="s">
        <v>7</v>
      </c>
      <c r="C265" t="s">
        <v>32</v>
      </c>
      <c r="D265">
        <v>2000</v>
      </c>
      <c r="E265">
        <v>116000</v>
      </c>
      <c r="F265" t="s">
        <v>9</v>
      </c>
    </row>
    <row r="266" spans="1:15" x14ac:dyDescent="0.2">
      <c r="A266" t="s">
        <v>104</v>
      </c>
      <c r="B266" t="s">
        <v>10</v>
      </c>
      <c r="C266" t="s">
        <v>11</v>
      </c>
      <c r="D266">
        <v>2000</v>
      </c>
      <c r="E266">
        <v>134000</v>
      </c>
      <c r="F266" t="s">
        <v>9</v>
      </c>
    </row>
    <row r="267" spans="1:15" x14ac:dyDescent="0.2">
      <c r="A267" t="s">
        <v>104</v>
      </c>
      <c r="B267" t="s">
        <v>12</v>
      </c>
      <c r="C267" t="s">
        <v>13</v>
      </c>
      <c r="D267">
        <v>65.42</v>
      </c>
      <c r="E267">
        <v>115944.16</v>
      </c>
      <c r="F267" t="s">
        <v>14</v>
      </c>
    </row>
    <row r="268" spans="1:15" x14ac:dyDescent="0.2">
      <c r="A268" t="s">
        <v>105</v>
      </c>
      <c r="B268" t="s">
        <v>7</v>
      </c>
      <c r="C268" t="s">
        <v>32</v>
      </c>
      <c r="D268">
        <v>2000</v>
      </c>
      <c r="E268">
        <v>114000</v>
      </c>
      <c r="F268" t="s">
        <v>9</v>
      </c>
    </row>
    <row r="269" spans="1:15" x14ac:dyDescent="0.2">
      <c r="A269" t="s">
        <v>105</v>
      </c>
      <c r="B269" t="s">
        <v>10</v>
      </c>
      <c r="C269" t="s">
        <v>11</v>
      </c>
      <c r="D269">
        <v>2000</v>
      </c>
      <c r="E269">
        <v>136000</v>
      </c>
      <c r="F269" t="s">
        <v>9</v>
      </c>
    </row>
    <row r="270" spans="1:15" x14ac:dyDescent="0.2">
      <c r="A270" t="s">
        <v>105</v>
      </c>
      <c r="B270" t="s">
        <v>12</v>
      </c>
      <c r="C270" t="s">
        <v>13</v>
      </c>
      <c r="D270">
        <v>65.42</v>
      </c>
      <c r="E270">
        <v>115878.74</v>
      </c>
      <c r="F270" t="s">
        <v>14</v>
      </c>
    </row>
    <row r="271" spans="1:15" x14ac:dyDescent="0.2">
      <c r="A271" t="s">
        <v>106</v>
      </c>
      <c r="B271" t="s">
        <v>7</v>
      </c>
      <c r="C271" t="s">
        <v>32</v>
      </c>
      <c r="D271">
        <v>2000</v>
      </c>
      <c r="E271">
        <v>112000</v>
      </c>
      <c r="F271" t="s">
        <v>9</v>
      </c>
    </row>
    <row r="272" spans="1:15" x14ac:dyDescent="0.2">
      <c r="A272" t="s">
        <v>106</v>
      </c>
      <c r="B272" t="s">
        <v>10</v>
      </c>
      <c r="C272" t="s">
        <v>11</v>
      </c>
      <c r="D272">
        <v>2000</v>
      </c>
      <c r="E272">
        <v>138000</v>
      </c>
      <c r="F272" t="s">
        <v>9</v>
      </c>
    </row>
    <row r="273" spans="1:6" x14ac:dyDescent="0.2">
      <c r="A273" t="s">
        <v>106</v>
      </c>
      <c r="B273" t="s">
        <v>12</v>
      </c>
      <c r="C273" t="s">
        <v>13</v>
      </c>
      <c r="D273">
        <v>65.42</v>
      </c>
      <c r="E273">
        <v>115813.32</v>
      </c>
      <c r="F273" t="s">
        <v>14</v>
      </c>
    </row>
    <row r="274" spans="1:6" x14ac:dyDescent="0.2">
      <c r="A274" t="s">
        <v>107</v>
      </c>
      <c r="B274" t="s">
        <v>7</v>
      </c>
      <c r="C274" t="s">
        <v>32</v>
      </c>
      <c r="D274">
        <v>2000</v>
      </c>
      <c r="E274">
        <v>110000</v>
      </c>
      <c r="F274" t="s">
        <v>9</v>
      </c>
    </row>
    <row r="275" spans="1:6" x14ac:dyDescent="0.2">
      <c r="A275" t="s">
        <v>107</v>
      </c>
      <c r="B275" t="s">
        <v>10</v>
      </c>
      <c r="C275" t="s">
        <v>11</v>
      </c>
      <c r="D275">
        <v>2000</v>
      </c>
      <c r="E275">
        <v>140000</v>
      </c>
      <c r="F275" t="s">
        <v>9</v>
      </c>
    </row>
    <row r="276" spans="1:6" x14ac:dyDescent="0.2">
      <c r="A276" t="s">
        <v>107</v>
      </c>
      <c r="B276" t="s">
        <v>12</v>
      </c>
      <c r="C276" t="s">
        <v>13</v>
      </c>
      <c r="D276">
        <v>65.41</v>
      </c>
      <c r="E276">
        <v>115747.91</v>
      </c>
      <c r="F276" t="s">
        <v>14</v>
      </c>
    </row>
    <row r="277" spans="1:6" x14ac:dyDescent="0.2">
      <c r="A277" t="s">
        <v>108</v>
      </c>
      <c r="B277" t="s">
        <v>7</v>
      </c>
      <c r="C277" t="s">
        <v>32</v>
      </c>
      <c r="D277">
        <v>2000</v>
      </c>
      <c r="E277">
        <v>108000</v>
      </c>
      <c r="F277" t="s">
        <v>9</v>
      </c>
    </row>
    <row r="278" spans="1:6" x14ac:dyDescent="0.2">
      <c r="A278" t="s">
        <v>108</v>
      </c>
      <c r="B278" t="s">
        <v>10</v>
      </c>
      <c r="C278" t="s">
        <v>11</v>
      </c>
      <c r="D278">
        <v>2000</v>
      </c>
      <c r="E278">
        <v>142000</v>
      </c>
      <c r="F278" t="s">
        <v>9</v>
      </c>
    </row>
    <row r="279" spans="1:6" x14ac:dyDescent="0.2">
      <c r="A279" t="s">
        <v>108</v>
      </c>
      <c r="B279" t="s">
        <v>12</v>
      </c>
      <c r="C279" t="s">
        <v>13</v>
      </c>
      <c r="D279">
        <v>65.42</v>
      </c>
      <c r="E279">
        <v>115682.49</v>
      </c>
      <c r="F279" t="s">
        <v>14</v>
      </c>
    </row>
    <row r="280" spans="1:6" x14ac:dyDescent="0.2">
      <c r="A280" t="s">
        <v>109</v>
      </c>
      <c r="B280" t="s">
        <v>7</v>
      </c>
      <c r="C280" t="s">
        <v>32</v>
      </c>
      <c r="D280">
        <v>2000</v>
      </c>
      <c r="E280">
        <v>106000</v>
      </c>
      <c r="F280" t="s">
        <v>9</v>
      </c>
    </row>
    <row r="281" spans="1:6" x14ac:dyDescent="0.2">
      <c r="A281" t="s">
        <v>109</v>
      </c>
      <c r="B281" t="s">
        <v>10</v>
      </c>
      <c r="C281" t="s">
        <v>11</v>
      </c>
      <c r="D281">
        <v>2000</v>
      </c>
      <c r="E281">
        <v>144000</v>
      </c>
      <c r="F281" t="s">
        <v>9</v>
      </c>
    </row>
    <row r="282" spans="1:6" x14ac:dyDescent="0.2">
      <c r="A282" t="s">
        <v>109</v>
      </c>
      <c r="B282" t="s">
        <v>12</v>
      </c>
      <c r="C282" t="s">
        <v>13</v>
      </c>
      <c r="D282">
        <v>65.41</v>
      </c>
      <c r="E282">
        <v>115617.08</v>
      </c>
      <c r="F282" t="s">
        <v>14</v>
      </c>
    </row>
    <row r="283" spans="1:6" x14ac:dyDescent="0.2">
      <c r="A283" t="s">
        <v>110</v>
      </c>
      <c r="B283" t="s">
        <v>7</v>
      </c>
      <c r="C283" t="s">
        <v>32</v>
      </c>
      <c r="D283">
        <v>2000</v>
      </c>
      <c r="E283">
        <v>104000</v>
      </c>
      <c r="F283" t="s">
        <v>9</v>
      </c>
    </row>
    <row r="284" spans="1:6" x14ac:dyDescent="0.2">
      <c r="A284" t="s">
        <v>110</v>
      </c>
      <c r="B284" t="s">
        <v>10</v>
      </c>
      <c r="C284" t="s">
        <v>11</v>
      </c>
      <c r="D284">
        <v>2000</v>
      </c>
      <c r="E284">
        <v>146000</v>
      </c>
      <c r="F284" t="s">
        <v>9</v>
      </c>
    </row>
    <row r="285" spans="1:6" x14ac:dyDescent="0.2">
      <c r="A285" t="s">
        <v>110</v>
      </c>
      <c r="B285" t="s">
        <v>12</v>
      </c>
      <c r="C285" t="s">
        <v>13</v>
      </c>
      <c r="D285">
        <v>65.41</v>
      </c>
      <c r="E285">
        <v>115551.67</v>
      </c>
      <c r="F285" t="s">
        <v>14</v>
      </c>
    </row>
    <row r="286" spans="1:6" x14ac:dyDescent="0.2">
      <c r="A286" t="s">
        <v>111</v>
      </c>
      <c r="B286" t="s">
        <v>7</v>
      </c>
      <c r="C286" t="s">
        <v>32</v>
      </c>
      <c r="D286">
        <v>2000</v>
      </c>
      <c r="E286">
        <v>102000</v>
      </c>
      <c r="F286" t="s">
        <v>9</v>
      </c>
    </row>
    <row r="287" spans="1:6" x14ac:dyDescent="0.2">
      <c r="A287" t="s">
        <v>111</v>
      </c>
      <c r="B287" t="s">
        <v>10</v>
      </c>
      <c r="C287" t="s">
        <v>11</v>
      </c>
      <c r="D287">
        <v>2000</v>
      </c>
      <c r="E287">
        <v>148000</v>
      </c>
      <c r="F287" t="s">
        <v>9</v>
      </c>
    </row>
    <row r="288" spans="1:6" x14ac:dyDescent="0.2">
      <c r="A288" t="s">
        <v>111</v>
      </c>
      <c r="B288" t="s">
        <v>12</v>
      </c>
      <c r="C288" t="s">
        <v>13</v>
      </c>
      <c r="D288">
        <v>65.41</v>
      </c>
      <c r="E288">
        <v>115486.26</v>
      </c>
      <c r="F288" t="s">
        <v>14</v>
      </c>
    </row>
    <row r="289" spans="1:13" x14ac:dyDescent="0.2">
      <c r="A289" t="s">
        <v>112</v>
      </c>
      <c r="B289" t="s">
        <v>7</v>
      </c>
      <c r="C289" t="s">
        <v>32</v>
      </c>
      <c r="D289">
        <v>2000</v>
      </c>
      <c r="E289">
        <v>100000</v>
      </c>
      <c r="F289" t="s">
        <v>9</v>
      </c>
    </row>
    <row r="290" spans="1:13" x14ac:dyDescent="0.2">
      <c r="A290" t="s">
        <v>112</v>
      </c>
      <c r="B290" t="s">
        <v>10</v>
      </c>
      <c r="C290" t="s">
        <v>11</v>
      </c>
      <c r="D290">
        <v>2000</v>
      </c>
      <c r="E290">
        <v>150000</v>
      </c>
      <c r="F290" t="s">
        <v>9</v>
      </c>
    </row>
    <row r="291" spans="1:13" x14ac:dyDescent="0.2">
      <c r="A291" t="s">
        <v>112</v>
      </c>
      <c r="B291" t="s">
        <v>12</v>
      </c>
      <c r="C291" t="s">
        <v>13</v>
      </c>
      <c r="D291">
        <v>65.41</v>
      </c>
      <c r="E291">
        <v>115420.85</v>
      </c>
      <c r="F291" t="s">
        <v>14</v>
      </c>
    </row>
    <row r="292" spans="1:13" x14ac:dyDescent="0.2">
      <c r="A292" t="s">
        <v>113</v>
      </c>
      <c r="B292" t="s">
        <v>7</v>
      </c>
      <c r="C292" t="s">
        <v>32</v>
      </c>
      <c r="D292">
        <v>2000</v>
      </c>
      <c r="E292">
        <v>98000</v>
      </c>
      <c r="F292" t="s">
        <v>9</v>
      </c>
    </row>
    <row r="293" spans="1:13" x14ac:dyDescent="0.2">
      <c r="A293" t="s">
        <v>113</v>
      </c>
      <c r="B293" t="s">
        <v>10</v>
      </c>
      <c r="C293" t="s">
        <v>11</v>
      </c>
      <c r="D293">
        <v>2000</v>
      </c>
      <c r="E293">
        <v>152000</v>
      </c>
      <c r="F293" t="s">
        <v>9</v>
      </c>
    </row>
    <row r="294" spans="1:13" x14ac:dyDescent="0.2">
      <c r="A294" t="s">
        <v>113</v>
      </c>
      <c r="B294" t="s">
        <v>12</v>
      </c>
      <c r="C294" t="s">
        <v>13</v>
      </c>
      <c r="D294">
        <v>65.41</v>
      </c>
      <c r="E294">
        <v>115355.44</v>
      </c>
      <c r="F294" t="s">
        <v>14</v>
      </c>
    </row>
    <row r="295" spans="1:13" x14ac:dyDescent="0.2">
      <c r="A295" t="s">
        <v>114</v>
      </c>
      <c r="B295" t="s">
        <v>7</v>
      </c>
      <c r="C295" t="s">
        <v>32</v>
      </c>
      <c r="D295">
        <v>2000</v>
      </c>
      <c r="E295">
        <v>96000</v>
      </c>
      <c r="F295" t="s">
        <v>9</v>
      </c>
    </row>
    <row r="296" spans="1:13" x14ac:dyDescent="0.2">
      <c r="A296" t="s">
        <v>114</v>
      </c>
      <c r="B296" t="s">
        <v>10</v>
      </c>
      <c r="C296" t="s">
        <v>11</v>
      </c>
      <c r="D296">
        <v>2000</v>
      </c>
      <c r="E296">
        <v>154000</v>
      </c>
      <c r="F296" t="s">
        <v>9</v>
      </c>
    </row>
    <row r="297" spans="1:13" x14ac:dyDescent="0.2">
      <c r="A297" t="s">
        <v>114</v>
      </c>
      <c r="B297" t="s">
        <v>12</v>
      </c>
      <c r="C297" t="s">
        <v>13</v>
      </c>
      <c r="D297">
        <v>65.44</v>
      </c>
      <c r="E297">
        <v>115290</v>
      </c>
      <c r="F297" t="s">
        <v>14</v>
      </c>
    </row>
    <row r="298" spans="1:13" x14ac:dyDescent="0.2">
      <c r="A298" t="s">
        <v>115</v>
      </c>
      <c r="B298" t="s">
        <v>27</v>
      </c>
      <c r="C298" t="s">
        <v>13</v>
      </c>
      <c r="E298">
        <v>115290</v>
      </c>
      <c r="F298" t="s">
        <v>28</v>
      </c>
      <c r="J298">
        <f>SUMIFS(D262:D297,B262:B297,"Deposit",C262:C297,"Savings")</f>
        <v>0</v>
      </c>
      <c r="K298">
        <f>SUMIFS(D262:D297,B262:B297,"Payment",C262:C297,"Savings")</f>
        <v>785</v>
      </c>
      <c r="L298">
        <f>SUMIFS(D262:D297,B262:B297,"Withdraw",C262:C297,"Savings")</f>
        <v>0</v>
      </c>
      <c r="M298">
        <f>M246+J298-K298-L298</f>
        <v>115290</v>
      </c>
    </row>
    <row r="299" spans="1:13" x14ac:dyDescent="0.2">
      <c r="A299" t="s">
        <v>115</v>
      </c>
      <c r="B299" t="s">
        <v>27</v>
      </c>
      <c r="C299" t="s">
        <v>29</v>
      </c>
      <c r="E299">
        <v>120000</v>
      </c>
      <c r="F299" t="s">
        <v>28</v>
      </c>
      <c r="J299">
        <f>SUMIFS(D262:D297,B262:B297,"Deposit",C262:C297,"Savings2")</f>
        <v>0</v>
      </c>
      <c r="L299">
        <f>SUMIFS(D262:D297,B262:B297,"Withdraw",C262:C297,"Savings2")</f>
        <v>0</v>
      </c>
      <c r="M299">
        <f>M247+J299-K299-L299</f>
        <v>120000</v>
      </c>
    </row>
    <row r="300" spans="1:13" x14ac:dyDescent="0.2">
      <c r="A300" t="s">
        <v>115</v>
      </c>
      <c r="B300" t="s">
        <v>27</v>
      </c>
      <c r="C300" t="s">
        <v>30</v>
      </c>
      <c r="E300">
        <v>120000</v>
      </c>
      <c r="F300" t="s">
        <v>28</v>
      </c>
      <c r="J300">
        <f>SUMIFS(D262:D297,B262:B297,"Deposit",C262:C297,"Brokerage")</f>
        <v>0</v>
      </c>
      <c r="L300">
        <f>SUMIFS(D262:D297,B262:B297,"Withdraw",C262:C297,"Brokerage")</f>
        <v>0</v>
      </c>
      <c r="M300">
        <f>M248+J300-K300-L300</f>
        <v>120000</v>
      </c>
    </row>
    <row r="301" spans="1:13" x14ac:dyDescent="0.2">
      <c r="A301" t="s">
        <v>115</v>
      </c>
      <c r="B301" t="s">
        <v>27</v>
      </c>
      <c r="C301" t="s">
        <v>31</v>
      </c>
      <c r="E301">
        <v>120000</v>
      </c>
      <c r="F301" t="s">
        <v>28</v>
      </c>
      <c r="J301">
        <f>SUMIFS(D262:D297,B262:B297,"Deposit",C262:C297,"Brokerage2")</f>
        <v>0</v>
      </c>
      <c r="L301">
        <f>SUMIFS(D262:D297,B262:B297,"Withdraw",C262:C297,"Brokerage2")</f>
        <v>0</v>
      </c>
      <c r="M301">
        <f>M249+J301-K301-L301</f>
        <v>120000</v>
      </c>
    </row>
    <row r="302" spans="1:13" x14ac:dyDescent="0.2">
      <c r="A302" t="s">
        <v>115</v>
      </c>
      <c r="B302" t="s">
        <v>27</v>
      </c>
      <c r="C302" t="s">
        <v>8</v>
      </c>
      <c r="E302">
        <v>0</v>
      </c>
      <c r="F302" t="s">
        <v>28</v>
      </c>
      <c r="J302">
        <f>SUMIFS(D262:D297,B262:B297,"Deposit",C262:C297,"IRA")</f>
        <v>0</v>
      </c>
      <c r="L302">
        <f>SUMIFS(D262:D297,B262:B297,"Withdraw",C262:C297,"IRA")</f>
        <v>0</v>
      </c>
      <c r="M302">
        <f>M250+J302-K302-L302</f>
        <v>0</v>
      </c>
    </row>
    <row r="303" spans="1:13" x14ac:dyDescent="0.2">
      <c r="A303" t="s">
        <v>115</v>
      </c>
      <c r="B303" t="s">
        <v>27</v>
      </c>
      <c r="C303" t="s">
        <v>32</v>
      </c>
      <c r="E303">
        <v>96000</v>
      </c>
      <c r="F303" t="s">
        <v>28</v>
      </c>
      <c r="J303">
        <f>SUMIFS(D262:D297,B262:B297,"Deposit",C262:C297,"IRA2")</f>
        <v>0</v>
      </c>
      <c r="L303">
        <f>SUMIFS(D262:D297,B262:B297,"Withdraw",C262:C297,"IRA2")</f>
        <v>24000</v>
      </c>
      <c r="M303">
        <f>M251+J303-K303-L303</f>
        <v>96000</v>
      </c>
    </row>
    <row r="304" spans="1:13" x14ac:dyDescent="0.2">
      <c r="A304" t="s">
        <v>115</v>
      </c>
      <c r="B304" t="s">
        <v>27</v>
      </c>
      <c r="C304" t="s">
        <v>11</v>
      </c>
      <c r="E304">
        <v>154000</v>
      </c>
      <c r="F304" t="s">
        <v>28</v>
      </c>
      <c r="J304">
        <f>SUMIFS(D262:D297,B262:B297,"Deposit",C262:C297,"Roth")</f>
        <v>24000</v>
      </c>
      <c r="L304">
        <f>SUMIFS(D262:D297,B262:B297,"Withdraw",C262:C297,"Roth")</f>
        <v>0</v>
      </c>
      <c r="M304">
        <f>M252+J304-K304-L304</f>
        <v>154000</v>
      </c>
    </row>
    <row r="305" spans="1:15" x14ac:dyDescent="0.2">
      <c r="A305" t="s">
        <v>115</v>
      </c>
      <c r="B305" t="s">
        <v>27</v>
      </c>
      <c r="C305" t="s">
        <v>33</v>
      </c>
      <c r="E305">
        <v>10000</v>
      </c>
      <c r="F305" t="s">
        <v>28</v>
      </c>
      <c r="J305">
        <f>SUMIFS(D262:D297,B262:B297,"Deposit",C262:C297,"Roth2")</f>
        <v>0</v>
      </c>
      <c r="L305">
        <f>SUMIFS(D262:D297,B262:B297,"Withdraw",C262:C297,"Roth2")</f>
        <v>0</v>
      </c>
      <c r="M305">
        <f>M253+J305-K305-L305</f>
        <v>10000</v>
      </c>
    </row>
    <row r="306" spans="1:15" x14ac:dyDescent="0.2">
      <c r="A306" t="s">
        <v>115</v>
      </c>
      <c r="B306" t="s">
        <v>34</v>
      </c>
      <c r="C306" t="s">
        <v>35</v>
      </c>
      <c r="E306">
        <v>0</v>
      </c>
      <c r="F306" t="s">
        <v>36</v>
      </c>
      <c r="J306">
        <f>SUMIFS(D262:D297,C262:C297,"Savings",B262:B297,"Deposit",F262:F297,"=*income*")</f>
        <v>0</v>
      </c>
      <c r="K306">
        <f>J306*6.2%</f>
        <v>0</v>
      </c>
    </row>
    <row r="307" spans="1:15" x14ac:dyDescent="0.2">
      <c r="A307" t="s">
        <v>115</v>
      </c>
      <c r="B307" t="s">
        <v>34</v>
      </c>
      <c r="C307" t="s">
        <v>37</v>
      </c>
      <c r="E307">
        <v>0</v>
      </c>
      <c r="F307" t="s">
        <v>38</v>
      </c>
      <c r="J307">
        <f>J306</f>
        <v>0</v>
      </c>
      <c r="K307">
        <f>J307*1.45%</f>
        <v>0</v>
      </c>
    </row>
    <row r="308" spans="1:15" x14ac:dyDescent="0.2">
      <c r="A308" t="s">
        <v>115</v>
      </c>
      <c r="B308" t="s">
        <v>34</v>
      </c>
      <c r="C308" t="s">
        <v>39</v>
      </c>
      <c r="E308">
        <v>0</v>
      </c>
      <c r="F308" t="s">
        <v>40</v>
      </c>
    </row>
    <row r="309" spans="1:15" x14ac:dyDescent="0.2">
      <c r="A309" t="s">
        <v>115</v>
      </c>
      <c r="B309" t="s">
        <v>34</v>
      </c>
      <c r="C309" t="s">
        <v>41</v>
      </c>
      <c r="E309">
        <v>0</v>
      </c>
      <c r="F309" t="s">
        <v>42</v>
      </c>
    </row>
    <row r="310" spans="1:15" x14ac:dyDescent="0.2">
      <c r="A310" t="s">
        <v>115</v>
      </c>
      <c r="B310" t="s">
        <v>34</v>
      </c>
      <c r="C310" t="s">
        <v>43</v>
      </c>
      <c r="E310">
        <v>24000</v>
      </c>
      <c r="F310" t="s">
        <v>44</v>
      </c>
      <c r="J310">
        <f>J306</f>
        <v>0</v>
      </c>
      <c r="K310">
        <v>0</v>
      </c>
      <c r="L310">
        <f>SUM(L300:L301)/2</f>
        <v>0</v>
      </c>
      <c r="M310">
        <f>SUM(L302:L303)</f>
        <v>24000</v>
      </c>
      <c r="O310">
        <f>SUM(J310:N310)</f>
        <v>24000</v>
      </c>
    </row>
    <row r="311" spans="1:15" x14ac:dyDescent="0.2">
      <c r="A311" t="s">
        <v>115</v>
      </c>
      <c r="B311" t="s">
        <v>34</v>
      </c>
      <c r="C311" t="s">
        <v>45</v>
      </c>
      <c r="E311">
        <v>785</v>
      </c>
      <c r="F311" t="s">
        <v>46</v>
      </c>
    </row>
    <row r="312" spans="1:15" x14ac:dyDescent="0.2">
      <c r="A312" t="s">
        <v>115</v>
      </c>
      <c r="B312" t="s">
        <v>34</v>
      </c>
      <c r="C312" t="s">
        <v>47</v>
      </c>
      <c r="E312">
        <v>0</v>
      </c>
      <c r="F312" t="s">
        <v>48</v>
      </c>
      <c r="J312" s="1" t="s">
        <v>183</v>
      </c>
      <c r="K312" s="1">
        <f>SUMIFS(D262:D297,B262:B297,"Withdraw",F262:F297,"=*ROTH conversion*")</f>
        <v>24000</v>
      </c>
      <c r="L312" s="1"/>
      <c r="M312" s="1" t="s">
        <v>184</v>
      </c>
      <c r="N312" s="1">
        <f>SUMIFS(D238:D297,B238:B297,"Withdraw",F238:F297,"=*RMD*")</f>
        <v>0</v>
      </c>
    </row>
    <row r="313" spans="1:15" x14ac:dyDescent="0.2">
      <c r="A313" t="s">
        <v>115</v>
      </c>
      <c r="B313" t="s">
        <v>34</v>
      </c>
      <c r="C313" t="s">
        <v>49</v>
      </c>
      <c r="E313">
        <v>0</v>
      </c>
      <c r="F313" t="s">
        <v>50</v>
      </c>
    </row>
    <row r="314" spans="1:15" x14ac:dyDescent="0.2">
      <c r="A314" t="s">
        <v>116</v>
      </c>
      <c r="B314" t="s">
        <v>7</v>
      </c>
      <c r="C314" t="s">
        <v>32</v>
      </c>
      <c r="D314">
        <v>2000</v>
      </c>
      <c r="E314">
        <v>94000</v>
      </c>
      <c r="F314" t="s">
        <v>9</v>
      </c>
    </row>
    <row r="315" spans="1:15" x14ac:dyDescent="0.2">
      <c r="A315" t="s">
        <v>116</v>
      </c>
      <c r="B315" t="s">
        <v>10</v>
      </c>
      <c r="C315" t="s">
        <v>11</v>
      </c>
      <c r="D315">
        <v>2000</v>
      </c>
      <c r="E315">
        <v>156000</v>
      </c>
      <c r="F315" t="s">
        <v>9</v>
      </c>
    </row>
    <row r="316" spans="1:15" x14ac:dyDescent="0.2">
      <c r="A316" t="s">
        <v>116</v>
      </c>
      <c r="B316" t="s">
        <v>12</v>
      </c>
      <c r="C316" t="s">
        <v>13</v>
      </c>
      <c r="D316">
        <v>65.42</v>
      </c>
      <c r="E316">
        <v>115224.58</v>
      </c>
      <c r="F316" t="s">
        <v>14</v>
      </c>
    </row>
    <row r="317" spans="1:15" x14ac:dyDescent="0.2">
      <c r="A317" t="s">
        <v>117</v>
      </c>
      <c r="B317" t="s">
        <v>7</v>
      </c>
      <c r="C317" t="s">
        <v>32</v>
      </c>
      <c r="D317">
        <v>2000</v>
      </c>
      <c r="E317">
        <v>92000</v>
      </c>
      <c r="F317" t="s">
        <v>9</v>
      </c>
    </row>
    <row r="318" spans="1:15" x14ac:dyDescent="0.2">
      <c r="A318" t="s">
        <v>117</v>
      </c>
      <c r="B318" t="s">
        <v>10</v>
      </c>
      <c r="C318" t="s">
        <v>11</v>
      </c>
      <c r="D318">
        <v>2000</v>
      </c>
      <c r="E318">
        <v>158000</v>
      </c>
      <c r="F318" t="s">
        <v>9</v>
      </c>
    </row>
    <row r="319" spans="1:15" x14ac:dyDescent="0.2">
      <c r="A319" t="s">
        <v>117</v>
      </c>
      <c r="B319" t="s">
        <v>12</v>
      </c>
      <c r="C319" t="s">
        <v>13</v>
      </c>
      <c r="D319">
        <v>65.42</v>
      </c>
      <c r="E319">
        <v>115159.16</v>
      </c>
      <c r="F319" t="s">
        <v>14</v>
      </c>
    </row>
    <row r="320" spans="1:15" x14ac:dyDescent="0.2">
      <c r="A320" t="s">
        <v>118</v>
      </c>
      <c r="B320" t="s">
        <v>7</v>
      </c>
      <c r="C320" t="s">
        <v>32</v>
      </c>
      <c r="D320">
        <v>2000</v>
      </c>
      <c r="E320">
        <v>90000</v>
      </c>
      <c r="F320" t="s">
        <v>9</v>
      </c>
    </row>
    <row r="321" spans="1:6" x14ac:dyDescent="0.2">
      <c r="A321" t="s">
        <v>118</v>
      </c>
      <c r="B321" t="s">
        <v>10</v>
      </c>
      <c r="C321" t="s">
        <v>11</v>
      </c>
      <c r="D321">
        <v>2000</v>
      </c>
      <c r="E321">
        <v>160000</v>
      </c>
      <c r="F321" t="s">
        <v>9</v>
      </c>
    </row>
    <row r="322" spans="1:6" x14ac:dyDescent="0.2">
      <c r="A322" t="s">
        <v>118</v>
      </c>
      <c r="B322" t="s">
        <v>12</v>
      </c>
      <c r="C322" t="s">
        <v>13</v>
      </c>
      <c r="D322">
        <v>65.42</v>
      </c>
      <c r="E322">
        <v>115093.74</v>
      </c>
      <c r="F322" t="s">
        <v>14</v>
      </c>
    </row>
    <row r="323" spans="1:6" x14ac:dyDescent="0.2">
      <c r="A323" t="s">
        <v>119</v>
      </c>
      <c r="B323" t="s">
        <v>7</v>
      </c>
      <c r="C323" t="s">
        <v>32</v>
      </c>
      <c r="D323">
        <v>2000</v>
      </c>
      <c r="E323">
        <v>88000</v>
      </c>
      <c r="F323" t="s">
        <v>9</v>
      </c>
    </row>
    <row r="324" spans="1:6" x14ac:dyDescent="0.2">
      <c r="A324" t="s">
        <v>119</v>
      </c>
      <c r="B324" t="s">
        <v>10</v>
      </c>
      <c r="C324" t="s">
        <v>11</v>
      </c>
      <c r="D324">
        <v>2000</v>
      </c>
      <c r="E324">
        <v>162000</v>
      </c>
      <c r="F324" t="s">
        <v>9</v>
      </c>
    </row>
    <row r="325" spans="1:6" x14ac:dyDescent="0.2">
      <c r="A325" t="s">
        <v>119</v>
      </c>
      <c r="B325" t="s">
        <v>12</v>
      </c>
      <c r="C325" t="s">
        <v>13</v>
      </c>
      <c r="D325">
        <v>65.42</v>
      </c>
      <c r="E325">
        <v>115028.32</v>
      </c>
      <c r="F325" t="s">
        <v>14</v>
      </c>
    </row>
    <row r="326" spans="1:6" x14ac:dyDescent="0.2">
      <c r="A326" t="s">
        <v>120</v>
      </c>
      <c r="B326" t="s">
        <v>7</v>
      </c>
      <c r="C326" t="s">
        <v>32</v>
      </c>
      <c r="D326">
        <v>2000</v>
      </c>
      <c r="E326">
        <v>86000</v>
      </c>
      <c r="F326" t="s">
        <v>9</v>
      </c>
    </row>
    <row r="327" spans="1:6" x14ac:dyDescent="0.2">
      <c r="A327" t="s">
        <v>120</v>
      </c>
      <c r="B327" t="s">
        <v>10</v>
      </c>
      <c r="C327" t="s">
        <v>11</v>
      </c>
      <c r="D327">
        <v>2000</v>
      </c>
      <c r="E327">
        <v>164000</v>
      </c>
      <c r="F327" t="s">
        <v>9</v>
      </c>
    </row>
    <row r="328" spans="1:6" x14ac:dyDescent="0.2">
      <c r="A328" t="s">
        <v>120</v>
      </c>
      <c r="B328" t="s">
        <v>12</v>
      </c>
      <c r="C328" t="s">
        <v>13</v>
      </c>
      <c r="D328">
        <v>65.41</v>
      </c>
      <c r="E328">
        <v>114962.91</v>
      </c>
      <c r="F328" t="s">
        <v>14</v>
      </c>
    </row>
    <row r="329" spans="1:6" x14ac:dyDescent="0.2">
      <c r="A329" t="s">
        <v>121</v>
      </c>
      <c r="B329" t="s">
        <v>7</v>
      </c>
      <c r="C329" t="s">
        <v>32</v>
      </c>
      <c r="D329">
        <v>2000</v>
      </c>
      <c r="E329">
        <v>84000</v>
      </c>
      <c r="F329" t="s">
        <v>9</v>
      </c>
    </row>
    <row r="330" spans="1:6" x14ac:dyDescent="0.2">
      <c r="A330" t="s">
        <v>121</v>
      </c>
      <c r="B330" t="s">
        <v>10</v>
      </c>
      <c r="C330" t="s">
        <v>11</v>
      </c>
      <c r="D330">
        <v>2000</v>
      </c>
      <c r="E330">
        <v>166000</v>
      </c>
      <c r="F330" t="s">
        <v>9</v>
      </c>
    </row>
    <row r="331" spans="1:6" x14ac:dyDescent="0.2">
      <c r="A331" t="s">
        <v>121</v>
      </c>
      <c r="B331" t="s">
        <v>12</v>
      </c>
      <c r="C331" t="s">
        <v>13</v>
      </c>
      <c r="D331">
        <v>65.42</v>
      </c>
      <c r="E331">
        <v>114897.49</v>
      </c>
      <c r="F331" t="s">
        <v>14</v>
      </c>
    </row>
    <row r="332" spans="1:6" x14ac:dyDescent="0.2">
      <c r="A332" t="s">
        <v>122</v>
      </c>
      <c r="B332" t="s">
        <v>7</v>
      </c>
      <c r="C332" t="s">
        <v>32</v>
      </c>
      <c r="D332">
        <v>2000</v>
      </c>
      <c r="E332">
        <v>82000</v>
      </c>
      <c r="F332" t="s">
        <v>9</v>
      </c>
    </row>
    <row r="333" spans="1:6" x14ac:dyDescent="0.2">
      <c r="A333" t="s">
        <v>122</v>
      </c>
      <c r="B333" t="s">
        <v>10</v>
      </c>
      <c r="C333" t="s">
        <v>11</v>
      </c>
      <c r="D333">
        <v>2000</v>
      </c>
      <c r="E333">
        <v>168000</v>
      </c>
      <c r="F333" t="s">
        <v>9</v>
      </c>
    </row>
    <row r="334" spans="1:6" x14ac:dyDescent="0.2">
      <c r="A334" t="s">
        <v>122</v>
      </c>
      <c r="B334" t="s">
        <v>12</v>
      </c>
      <c r="C334" t="s">
        <v>13</v>
      </c>
      <c r="D334">
        <v>65.41</v>
      </c>
      <c r="E334">
        <v>114832.08</v>
      </c>
      <c r="F334" t="s">
        <v>14</v>
      </c>
    </row>
    <row r="335" spans="1:6" x14ac:dyDescent="0.2">
      <c r="A335" t="s">
        <v>123</v>
      </c>
      <c r="B335" t="s">
        <v>7</v>
      </c>
      <c r="C335" t="s">
        <v>32</v>
      </c>
      <c r="D335">
        <v>2000</v>
      </c>
      <c r="E335">
        <v>80000</v>
      </c>
      <c r="F335" t="s">
        <v>9</v>
      </c>
    </row>
    <row r="336" spans="1:6" x14ac:dyDescent="0.2">
      <c r="A336" t="s">
        <v>123</v>
      </c>
      <c r="B336" t="s">
        <v>10</v>
      </c>
      <c r="C336" t="s">
        <v>11</v>
      </c>
      <c r="D336">
        <v>2000</v>
      </c>
      <c r="E336">
        <v>170000</v>
      </c>
      <c r="F336" t="s">
        <v>9</v>
      </c>
    </row>
    <row r="337" spans="1:13" x14ac:dyDescent="0.2">
      <c r="A337" t="s">
        <v>123</v>
      </c>
      <c r="B337" t="s">
        <v>12</v>
      </c>
      <c r="C337" t="s">
        <v>13</v>
      </c>
      <c r="D337">
        <v>65.41</v>
      </c>
      <c r="E337">
        <v>114766.67</v>
      </c>
      <c r="F337" t="s">
        <v>14</v>
      </c>
    </row>
    <row r="338" spans="1:13" x14ac:dyDescent="0.2">
      <c r="A338" t="s">
        <v>124</v>
      </c>
      <c r="B338" t="s">
        <v>7</v>
      </c>
      <c r="C338" t="s">
        <v>32</v>
      </c>
      <c r="D338">
        <v>2000</v>
      </c>
      <c r="E338">
        <v>78000</v>
      </c>
      <c r="F338" t="s">
        <v>9</v>
      </c>
    </row>
    <row r="339" spans="1:13" x14ac:dyDescent="0.2">
      <c r="A339" t="s">
        <v>124</v>
      </c>
      <c r="B339" t="s">
        <v>10</v>
      </c>
      <c r="C339" t="s">
        <v>11</v>
      </c>
      <c r="D339">
        <v>2000</v>
      </c>
      <c r="E339">
        <v>172000</v>
      </c>
      <c r="F339" t="s">
        <v>9</v>
      </c>
    </row>
    <row r="340" spans="1:13" x14ac:dyDescent="0.2">
      <c r="A340" t="s">
        <v>124</v>
      </c>
      <c r="B340" t="s">
        <v>12</v>
      </c>
      <c r="C340" t="s">
        <v>13</v>
      </c>
      <c r="D340">
        <v>65.41</v>
      </c>
      <c r="E340">
        <v>114701.26</v>
      </c>
      <c r="F340" t="s">
        <v>14</v>
      </c>
    </row>
    <row r="341" spans="1:13" x14ac:dyDescent="0.2">
      <c r="A341" t="s">
        <v>125</v>
      </c>
      <c r="B341" t="s">
        <v>7</v>
      </c>
      <c r="C341" t="s">
        <v>32</v>
      </c>
      <c r="D341">
        <v>2000</v>
      </c>
      <c r="E341">
        <v>76000</v>
      </c>
      <c r="F341" t="s">
        <v>9</v>
      </c>
    </row>
    <row r="342" spans="1:13" x14ac:dyDescent="0.2">
      <c r="A342" t="s">
        <v>125</v>
      </c>
      <c r="B342" t="s">
        <v>10</v>
      </c>
      <c r="C342" t="s">
        <v>11</v>
      </c>
      <c r="D342">
        <v>2000</v>
      </c>
      <c r="E342">
        <v>174000</v>
      </c>
      <c r="F342" t="s">
        <v>9</v>
      </c>
    </row>
    <row r="343" spans="1:13" x14ac:dyDescent="0.2">
      <c r="A343" t="s">
        <v>125</v>
      </c>
      <c r="B343" t="s">
        <v>12</v>
      </c>
      <c r="C343" t="s">
        <v>13</v>
      </c>
      <c r="D343">
        <v>65.41</v>
      </c>
      <c r="E343">
        <v>114635.85</v>
      </c>
      <c r="F343" t="s">
        <v>14</v>
      </c>
    </row>
    <row r="344" spans="1:13" x14ac:dyDescent="0.2">
      <c r="A344" t="s">
        <v>126</v>
      </c>
      <c r="B344" t="s">
        <v>7</v>
      </c>
      <c r="C344" t="s">
        <v>32</v>
      </c>
      <c r="D344">
        <v>2000</v>
      </c>
      <c r="E344">
        <v>74000</v>
      </c>
      <c r="F344" t="s">
        <v>9</v>
      </c>
    </row>
    <row r="345" spans="1:13" x14ac:dyDescent="0.2">
      <c r="A345" t="s">
        <v>126</v>
      </c>
      <c r="B345" t="s">
        <v>10</v>
      </c>
      <c r="C345" t="s">
        <v>11</v>
      </c>
      <c r="D345">
        <v>2000</v>
      </c>
      <c r="E345">
        <v>176000</v>
      </c>
      <c r="F345" t="s">
        <v>9</v>
      </c>
    </row>
    <row r="346" spans="1:13" x14ac:dyDescent="0.2">
      <c r="A346" t="s">
        <v>126</v>
      </c>
      <c r="B346" t="s">
        <v>12</v>
      </c>
      <c r="C346" t="s">
        <v>13</v>
      </c>
      <c r="D346">
        <v>65.41</v>
      </c>
      <c r="E346">
        <v>114570.44</v>
      </c>
      <c r="F346" t="s">
        <v>14</v>
      </c>
    </row>
    <row r="347" spans="1:13" x14ac:dyDescent="0.2">
      <c r="A347" t="s">
        <v>127</v>
      </c>
      <c r="B347" t="s">
        <v>7</v>
      </c>
      <c r="C347" t="s">
        <v>32</v>
      </c>
      <c r="D347">
        <v>2000</v>
      </c>
      <c r="E347">
        <v>72000</v>
      </c>
      <c r="F347" t="s">
        <v>9</v>
      </c>
    </row>
    <row r="348" spans="1:13" x14ac:dyDescent="0.2">
      <c r="A348" t="s">
        <v>127</v>
      </c>
      <c r="B348" t="s">
        <v>10</v>
      </c>
      <c r="C348" t="s">
        <v>11</v>
      </c>
      <c r="D348">
        <v>2000</v>
      </c>
      <c r="E348">
        <v>178000</v>
      </c>
      <c r="F348" t="s">
        <v>9</v>
      </c>
    </row>
    <row r="349" spans="1:13" x14ac:dyDescent="0.2">
      <c r="A349" t="s">
        <v>127</v>
      </c>
      <c r="B349" t="s">
        <v>12</v>
      </c>
      <c r="C349" t="s">
        <v>13</v>
      </c>
      <c r="D349">
        <v>65.44</v>
      </c>
      <c r="E349">
        <v>114505</v>
      </c>
      <c r="F349" t="s">
        <v>14</v>
      </c>
    </row>
    <row r="350" spans="1:13" x14ac:dyDescent="0.2">
      <c r="A350" t="s">
        <v>128</v>
      </c>
      <c r="B350" t="s">
        <v>27</v>
      </c>
      <c r="C350" t="s">
        <v>13</v>
      </c>
      <c r="E350">
        <v>114505</v>
      </c>
      <c r="F350" t="s">
        <v>28</v>
      </c>
      <c r="J350">
        <f>SUMIFS(D314:D349,B314:B349,"Deposit",C314:C349,"Savings")</f>
        <v>0</v>
      </c>
      <c r="K350">
        <f>SUMIFS(D314:D349,B314:B349,"Payment",C314:C349,"Savings")</f>
        <v>785</v>
      </c>
      <c r="L350">
        <f>SUMIFS(D314:D349,B314:B349,"Withdraw",C314:C349,"Savings")</f>
        <v>0</v>
      </c>
      <c r="M350">
        <f>M298+J350-K350-L350</f>
        <v>114505</v>
      </c>
    </row>
    <row r="351" spans="1:13" x14ac:dyDescent="0.2">
      <c r="A351" t="s">
        <v>128</v>
      </c>
      <c r="B351" t="s">
        <v>27</v>
      </c>
      <c r="C351" t="s">
        <v>29</v>
      </c>
      <c r="E351">
        <v>120000</v>
      </c>
      <c r="F351" t="s">
        <v>28</v>
      </c>
      <c r="J351">
        <f>SUMIFS(D314:D349,B314:B349,"Deposit",C314:C349,"Savings2")</f>
        <v>0</v>
      </c>
      <c r="L351">
        <f>SUMIFS(D314:D349,B314:B349,"Withdraw",C314:C349,"Savings2")</f>
        <v>0</v>
      </c>
      <c r="M351">
        <f>M299+J351-K351-L351</f>
        <v>120000</v>
      </c>
    </row>
    <row r="352" spans="1:13" x14ac:dyDescent="0.2">
      <c r="A352" t="s">
        <v>128</v>
      </c>
      <c r="B352" t="s">
        <v>27</v>
      </c>
      <c r="C352" t="s">
        <v>30</v>
      </c>
      <c r="E352">
        <v>120000</v>
      </c>
      <c r="F352" t="s">
        <v>28</v>
      </c>
      <c r="J352">
        <f>SUMIFS(D314:D349,B314:B349,"Deposit",C314:C349,"Brokerage")</f>
        <v>0</v>
      </c>
      <c r="L352">
        <f>SUMIFS(D314:D349,B314:B349,"Withdraw",C314:C349,"Brokerage")</f>
        <v>0</v>
      </c>
      <c r="M352">
        <f>M300+J352-K352-L352</f>
        <v>120000</v>
      </c>
    </row>
    <row r="353" spans="1:15" x14ac:dyDescent="0.2">
      <c r="A353" t="s">
        <v>128</v>
      </c>
      <c r="B353" t="s">
        <v>27</v>
      </c>
      <c r="C353" t="s">
        <v>31</v>
      </c>
      <c r="E353">
        <v>120000</v>
      </c>
      <c r="F353" t="s">
        <v>28</v>
      </c>
      <c r="J353">
        <f>SUMIFS(D314:D349,B314:B349,"Deposit",C314:C349,"Brokerage2")</f>
        <v>0</v>
      </c>
      <c r="L353">
        <f>SUMIFS(D314:D349,B314:B349,"Withdraw",C314:C349,"Brokerage2")</f>
        <v>0</v>
      </c>
      <c r="M353">
        <f>M301+J353-K353-L353</f>
        <v>120000</v>
      </c>
    </row>
    <row r="354" spans="1:15" x14ac:dyDescent="0.2">
      <c r="A354" t="s">
        <v>128</v>
      </c>
      <c r="B354" t="s">
        <v>27</v>
      </c>
      <c r="C354" t="s">
        <v>8</v>
      </c>
      <c r="E354">
        <v>0</v>
      </c>
      <c r="F354" t="s">
        <v>28</v>
      </c>
      <c r="J354">
        <f>SUMIFS(D314:D349,B314:B349,"Deposit",C314:C349,"IRA")</f>
        <v>0</v>
      </c>
      <c r="L354">
        <f>SUMIFS(D314:D349,B314:B349,"Withdraw",C314:C349,"IRA")</f>
        <v>0</v>
      </c>
      <c r="M354">
        <f>M302+J354-K354-L354</f>
        <v>0</v>
      </c>
    </row>
    <row r="355" spans="1:15" x14ac:dyDescent="0.2">
      <c r="A355" t="s">
        <v>128</v>
      </c>
      <c r="B355" t="s">
        <v>27</v>
      </c>
      <c r="C355" t="s">
        <v>32</v>
      </c>
      <c r="E355">
        <v>72000</v>
      </c>
      <c r="F355" t="s">
        <v>28</v>
      </c>
      <c r="J355">
        <f>SUMIFS(D314:D349,B314:B349,"Deposit",C314:C349,"IRA2")</f>
        <v>0</v>
      </c>
      <c r="L355">
        <f>SUMIFS(D314:D349,B314:B349,"Withdraw",C314:C349,"IRA2")</f>
        <v>24000</v>
      </c>
      <c r="M355">
        <f>M303+J355-K355-L355</f>
        <v>72000</v>
      </c>
    </row>
    <row r="356" spans="1:15" x14ac:dyDescent="0.2">
      <c r="A356" t="s">
        <v>128</v>
      </c>
      <c r="B356" t="s">
        <v>27</v>
      </c>
      <c r="C356" t="s">
        <v>11</v>
      </c>
      <c r="E356">
        <v>178000</v>
      </c>
      <c r="F356" t="s">
        <v>28</v>
      </c>
      <c r="J356">
        <f>SUMIFS(D314:D349,B314:B349,"Deposit",C314:C349,"Roth")</f>
        <v>24000</v>
      </c>
      <c r="L356">
        <f>SUMIFS(D314:D349,B314:B349,"Withdraw",C314:C349,"Roth")</f>
        <v>0</v>
      </c>
      <c r="M356">
        <f>M304+J356-K356-L356</f>
        <v>178000</v>
      </c>
    </row>
    <row r="357" spans="1:15" x14ac:dyDescent="0.2">
      <c r="A357" t="s">
        <v>128</v>
      </c>
      <c r="B357" t="s">
        <v>27</v>
      </c>
      <c r="C357" t="s">
        <v>33</v>
      </c>
      <c r="E357">
        <v>10000</v>
      </c>
      <c r="F357" t="s">
        <v>28</v>
      </c>
      <c r="J357">
        <f>SUMIFS(D314:D349,B314:B349,"Deposit",C314:C349,"Roth2")</f>
        <v>0</v>
      </c>
      <c r="L357">
        <f>SUMIFS(D314:D349,B314:B349,"Withdraw",C314:C349,"Roth2")</f>
        <v>0</v>
      </c>
      <c r="M357">
        <f>M305+J357-K357-L357</f>
        <v>10000</v>
      </c>
    </row>
    <row r="358" spans="1:15" x14ac:dyDescent="0.2">
      <c r="A358" t="s">
        <v>128</v>
      </c>
      <c r="B358" t="s">
        <v>34</v>
      </c>
      <c r="C358" t="s">
        <v>35</v>
      </c>
      <c r="E358">
        <v>0</v>
      </c>
      <c r="F358" t="s">
        <v>36</v>
      </c>
      <c r="J358">
        <f>SUMIFS(D314:D349,C314:C349,"Savings",B314:B349,"Deposit",F314:F349,"=*income*")</f>
        <v>0</v>
      </c>
      <c r="K358">
        <f>J358*6.2%</f>
        <v>0</v>
      </c>
    </row>
    <row r="359" spans="1:15" x14ac:dyDescent="0.2">
      <c r="A359" t="s">
        <v>128</v>
      </c>
      <c r="B359" t="s">
        <v>34</v>
      </c>
      <c r="C359" t="s">
        <v>37</v>
      </c>
      <c r="E359">
        <v>0</v>
      </c>
      <c r="F359" t="s">
        <v>38</v>
      </c>
      <c r="J359">
        <f>J358</f>
        <v>0</v>
      </c>
      <c r="K359">
        <f>J359*1.45%</f>
        <v>0</v>
      </c>
    </row>
    <row r="360" spans="1:15" x14ac:dyDescent="0.2">
      <c r="A360" t="s">
        <v>128</v>
      </c>
      <c r="B360" t="s">
        <v>34</v>
      </c>
      <c r="C360" t="s">
        <v>39</v>
      </c>
      <c r="E360">
        <v>0</v>
      </c>
      <c r="F360" t="s">
        <v>40</v>
      </c>
    </row>
    <row r="361" spans="1:15" x14ac:dyDescent="0.2">
      <c r="A361" t="s">
        <v>128</v>
      </c>
      <c r="B361" t="s">
        <v>34</v>
      </c>
      <c r="C361" t="s">
        <v>41</v>
      </c>
      <c r="E361">
        <v>0</v>
      </c>
      <c r="F361" t="s">
        <v>42</v>
      </c>
    </row>
    <row r="362" spans="1:15" x14ac:dyDescent="0.2">
      <c r="A362" t="s">
        <v>128</v>
      </c>
      <c r="B362" t="s">
        <v>34</v>
      </c>
      <c r="C362" t="s">
        <v>43</v>
      </c>
      <c r="E362">
        <v>24000</v>
      </c>
      <c r="F362" t="s">
        <v>44</v>
      </c>
      <c r="J362">
        <f>J358</f>
        <v>0</v>
      </c>
      <c r="K362">
        <v>0</v>
      </c>
      <c r="L362">
        <f>SUM(L352:L353)/2</f>
        <v>0</v>
      </c>
      <c r="M362">
        <f>SUM(L354:L355)</f>
        <v>24000</v>
      </c>
      <c r="O362">
        <f>SUM(J362:N362)</f>
        <v>24000</v>
      </c>
    </row>
    <row r="363" spans="1:15" x14ac:dyDescent="0.2">
      <c r="A363" t="s">
        <v>128</v>
      </c>
      <c r="B363" t="s">
        <v>34</v>
      </c>
      <c r="C363" t="s">
        <v>45</v>
      </c>
      <c r="E363">
        <v>785</v>
      </c>
      <c r="F363" t="s">
        <v>46</v>
      </c>
    </row>
    <row r="364" spans="1:15" x14ac:dyDescent="0.2">
      <c r="A364" t="s">
        <v>128</v>
      </c>
      <c r="B364" t="s">
        <v>34</v>
      </c>
      <c r="C364" t="s">
        <v>47</v>
      </c>
      <c r="E364">
        <v>0</v>
      </c>
      <c r="F364" t="s">
        <v>48</v>
      </c>
      <c r="J364" s="1" t="s">
        <v>183</v>
      </c>
      <c r="K364" s="1">
        <f>SUMIFS(D314:D349,B314:B349,"Withdraw",F314:F349,"=*ROTH conversion*")</f>
        <v>24000</v>
      </c>
      <c r="L364" s="1"/>
      <c r="M364" s="1" t="s">
        <v>184</v>
      </c>
      <c r="N364" s="1">
        <f>SUMIFS(D314:D349,B314:B349,"Withdraw",F314:F349,"=*RMD*")</f>
        <v>0</v>
      </c>
    </row>
    <row r="365" spans="1:15" x14ac:dyDescent="0.2">
      <c r="A365" t="s">
        <v>128</v>
      </c>
      <c r="B365" t="s">
        <v>34</v>
      </c>
      <c r="C365" t="s">
        <v>49</v>
      </c>
      <c r="E365">
        <v>0</v>
      </c>
      <c r="F365" t="s">
        <v>50</v>
      </c>
    </row>
    <row r="366" spans="1:15" x14ac:dyDescent="0.2">
      <c r="A366" t="s">
        <v>129</v>
      </c>
      <c r="B366" t="s">
        <v>7</v>
      </c>
      <c r="C366" t="s">
        <v>32</v>
      </c>
      <c r="D366">
        <v>2000</v>
      </c>
      <c r="E366">
        <v>70000</v>
      </c>
      <c r="F366" t="s">
        <v>9</v>
      </c>
    </row>
    <row r="367" spans="1:15" x14ac:dyDescent="0.2">
      <c r="A367" t="s">
        <v>129</v>
      </c>
      <c r="B367" t="s">
        <v>10</v>
      </c>
      <c r="C367" t="s">
        <v>11</v>
      </c>
      <c r="D367">
        <v>2000</v>
      </c>
      <c r="E367">
        <v>180000</v>
      </c>
      <c r="F367" t="s">
        <v>9</v>
      </c>
    </row>
    <row r="368" spans="1:15" x14ac:dyDescent="0.2">
      <c r="A368" t="s">
        <v>129</v>
      </c>
      <c r="B368" t="s">
        <v>12</v>
      </c>
      <c r="C368" t="s">
        <v>13</v>
      </c>
      <c r="D368">
        <v>65.42</v>
      </c>
      <c r="E368">
        <v>114439.58</v>
      </c>
      <c r="F368" t="s">
        <v>14</v>
      </c>
    </row>
    <row r="369" spans="1:6" x14ac:dyDescent="0.2">
      <c r="A369" t="s">
        <v>130</v>
      </c>
      <c r="B369" t="s">
        <v>7</v>
      </c>
      <c r="C369" t="s">
        <v>32</v>
      </c>
      <c r="D369">
        <v>2000</v>
      </c>
      <c r="E369">
        <v>68000</v>
      </c>
      <c r="F369" t="s">
        <v>9</v>
      </c>
    </row>
    <row r="370" spans="1:6" x14ac:dyDescent="0.2">
      <c r="A370" t="s">
        <v>130</v>
      </c>
      <c r="B370" t="s">
        <v>10</v>
      </c>
      <c r="C370" t="s">
        <v>11</v>
      </c>
      <c r="D370">
        <v>2000</v>
      </c>
      <c r="E370">
        <v>182000</v>
      </c>
      <c r="F370" t="s">
        <v>9</v>
      </c>
    </row>
    <row r="371" spans="1:6" x14ac:dyDescent="0.2">
      <c r="A371" t="s">
        <v>130</v>
      </c>
      <c r="B371" t="s">
        <v>12</v>
      </c>
      <c r="C371" t="s">
        <v>13</v>
      </c>
      <c r="D371">
        <v>65.42</v>
      </c>
      <c r="E371">
        <v>114374.16</v>
      </c>
      <c r="F371" t="s">
        <v>14</v>
      </c>
    </row>
    <row r="372" spans="1:6" x14ac:dyDescent="0.2">
      <c r="A372" t="s">
        <v>131</v>
      </c>
      <c r="B372" t="s">
        <v>7</v>
      </c>
      <c r="C372" t="s">
        <v>32</v>
      </c>
      <c r="D372">
        <v>2000</v>
      </c>
      <c r="E372">
        <v>66000</v>
      </c>
      <c r="F372" t="s">
        <v>9</v>
      </c>
    </row>
    <row r="373" spans="1:6" x14ac:dyDescent="0.2">
      <c r="A373" t="s">
        <v>131</v>
      </c>
      <c r="B373" t="s">
        <v>10</v>
      </c>
      <c r="C373" t="s">
        <v>11</v>
      </c>
      <c r="D373">
        <v>2000</v>
      </c>
      <c r="E373">
        <v>184000</v>
      </c>
      <c r="F373" t="s">
        <v>9</v>
      </c>
    </row>
    <row r="374" spans="1:6" x14ac:dyDescent="0.2">
      <c r="A374" t="s">
        <v>131</v>
      </c>
      <c r="B374" t="s">
        <v>12</v>
      </c>
      <c r="C374" t="s">
        <v>13</v>
      </c>
      <c r="D374">
        <v>65.42</v>
      </c>
      <c r="E374">
        <v>114308.74</v>
      </c>
      <c r="F374" t="s">
        <v>14</v>
      </c>
    </row>
    <row r="375" spans="1:6" x14ac:dyDescent="0.2">
      <c r="A375" t="s">
        <v>132</v>
      </c>
      <c r="B375" t="s">
        <v>7</v>
      </c>
      <c r="C375" t="s">
        <v>32</v>
      </c>
      <c r="D375">
        <v>2000</v>
      </c>
      <c r="E375">
        <v>64000</v>
      </c>
      <c r="F375" t="s">
        <v>9</v>
      </c>
    </row>
    <row r="376" spans="1:6" x14ac:dyDescent="0.2">
      <c r="A376" t="s">
        <v>132</v>
      </c>
      <c r="B376" t="s">
        <v>10</v>
      </c>
      <c r="C376" t="s">
        <v>11</v>
      </c>
      <c r="D376">
        <v>2000</v>
      </c>
      <c r="E376">
        <v>186000</v>
      </c>
      <c r="F376" t="s">
        <v>9</v>
      </c>
    </row>
    <row r="377" spans="1:6" x14ac:dyDescent="0.2">
      <c r="A377" t="s">
        <v>132</v>
      </c>
      <c r="B377" t="s">
        <v>12</v>
      </c>
      <c r="C377" t="s">
        <v>13</v>
      </c>
      <c r="D377">
        <v>65.42</v>
      </c>
      <c r="E377">
        <v>114243.32</v>
      </c>
      <c r="F377" t="s">
        <v>14</v>
      </c>
    </row>
    <row r="378" spans="1:6" x14ac:dyDescent="0.2">
      <c r="A378" t="s">
        <v>133</v>
      </c>
      <c r="B378" t="s">
        <v>7</v>
      </c>
      <c r="C378" t="s">
        <v>32</v>
      </c>
      <c r="D378">
        <v>2000</v>
      </c>
      <c r="E378">
        <v>62000</v>
      </c>
      <c r="F378" t="s">
        <v>9</v>
      </c>
    </row>
    <row r="379" spans="1:6" x14ac:dyDescent="0.2">
      <c r="A379" t="s">
        <v>133</v>
      </c>
      <c r="B379" t="s">
        <v>10</v>
      </c>
      <c r="C379" t="s">
        <v>11</v>
      </c>
      <c r="D379">
        <v>2000</v>
      </c>
      <c r="E379">
        <v>188000</v>
      </c>
      <c r="F379" t="s">
        <v>9</v>
      </c>
    </row>
    <row r="380" spans="1:6" x14ac:dyDescent="0.2">
      <c r="A380" t="s">
        <v>133</v>
      </c>
      <c r="B380" t="s">
        <v>12</v>
      </c>
      <c r="C380" t="s">
        <v>13</v>
      </c>
      <c r="D380">
        <v>65.41</v>
      </c>
      <c r="E380">
        <v>114177.91</v>
      </c>
      <c r="F380" t="s">
        <v>14</v>
      </c>
    </row>
    <row r="381" spans="1:6" x14ac:dyDescent="0.2">
      <c r="A381" t="s">
        <v>134</v>
      </c>
      <c r="B381" t="s">
        <v>7</v>
      </c>
      <c r="C381" t="s">
        <v>32</v>
      </c>
      <c r="D381">
        <v>2000</v>
      </c>
      <c r="E381">
        <v>60000</v>
      </c>
      <c r="F381" t="s">
        <v>9</v>
      </c>
    </row>
    <row r="382" spans="1:6" x14ac:dyDescent="0.2">
      <c r="A382" t="s">
        <v>134</v>
      </c>
      <c r="B382" t="s">
        <v>10</v>
      </c>
      <c r="C382" t="s">
        <v>11</v>
      </c>
      <c r="D382">
        <v>2000</v>
      </c>
      <c r="E382">
        <v>190000</v>
      </c>
      <c r="F382" t="s">
        <v>9</v>
      </c>
    </row>
    <row r="383" spans="1:6" x14ac:dyDescent="0.2">
      <c r="A383" t="s">
        <v>134</v>
      </c>
      <c r="B383" t="s">
        <v>12</v>
      </c>
      <c r="C383" t="s">
        <v>13</v>
      </c>
      <c r="D383">
        <v>65.42</v>
      </c>
      <c r="E383">
        <v>114112.49</v>
      </c>
      <c r="F383" t="s">
        <v>14</v>
      </c>
    </row>
    <row r="384" spans="1:6" x14ac:dyDescent="0.2">
      <c r="A384" t="s">
        <v>135</v>
      </c>
      <c r="B384" t="s">
        <v>7</v>
      </c>
      <c r="C384" t="s">
        <v>32</v>
      </c>
      <c r="D384">
        <v>2000</v>
      </c>
      <c r="E384">
        <v>58000</v>
      </c>
      <c r="F384" t="s">
        <v>9</v>
      </c>
    </row>
    <row r="385" spans="1:6" x14ac:dyDescent="0.2">
      <c r="A385" t="s">
        <v>135</v>
      </c>
      <c r="B385" t="s">
        <v>10</v>
      </c>
      <c r="C385" t="s">
        <v>11</v>
      </c>
      <c r="D385">
        <v>2000</v>
      </c>
      <c r="E385">
        <v>192000</v>
      </c>
      <c r="F385" t="s">
        <v>9</v>
      </c>
    </row>
    <row r="386" spans="1:6" x14ac:dyDescent="0.2">
      <c r="A386" t="s">
        <v>135</v>
      </c>
      <c r="B386" t="s">
        <v>12</v>
      </c>
      <c r="C386" t="s">
        <v>13</v>
      </c>
      <c r="D386">
        <v>65.41</v>
      </c>
      <c r="E386">
        <v>114047.08</v>
      </c>
      <c r="F386" t="s">
        <v>14</v>
      </c>
    </row>
    <row r="387" spans="1:6" x14ac:dyDescent="0.2">
      <c r="A387" t="s">
        <v>136</v>
      </c>
      <c r="B387" t="s">
        <v>7</v>
      </c>
      <c r="C387" t="s">
        <v>32</v>
      </c>
      <c r="D387">
        <v>2000</v>
      </c>
      <c r="E387">
        <v>56000</v>
      </c>
      <c r="F387" t="s">
        <v>9</v>
      </c>
    </row>
    <row r="388" spans="1:6" x14ac:dyDescent="0.2">
      <c r="A388" t="s">
        <v>136</v>
      </c>
      <c r="B388" t="s">
        <v>10</v>
      </c>
      <c r="C388" t="s">
        <v>11</v>
      </c>
      <c r="D388">
        <v>2000</v>
      </c>
      <c r="E388">
        <v>194000</v>
      </c>
      <c r="F388" t="s">
        <v>9</v>
      </c>
    </row>
    <row r="389" spans="1:6" x14ac:dyDescent="0.2">
      <c r="A389" t="s">
        <v>136</v>
      </c>
      <c r="B389" t="s">
        <v>12</v>
      </c>
      <c r="C389" t="s">
        <v>13</v>
      </c>
      <c r="D389">
        <v>65.41</v>
      </c>
      <c r="E389">
        <v>113981.67</v>
      </c>
      <c r="F389" t="s">
        <v>14</v>
      </c>
    </row>
    <row r="390" spans="1:6" x14ac:dyDescent="0.2">
      <c r="A390" t="s">
        <v>137</v>
      </c>
      <c r="B390" t="s">
        <v>7</v>
      </c>
      <c r="C390" t="s">
        <v>32</v>
      </c>
      <c r="D390">
        <v>2000</v>
      </c>
      <c r="E390">
        <v>54000</v>
      </c>
      <c r="F390" t="s">
        <v>9</v>
      </c>
    </row>
    <row r="391" spans="1:6" x14ac:dyDescent="0.2">
      <c r="A391" t="s">
        <v>137</v>
      </c>
      <c r="B391" t="s">
        <v>10</v>
      </c>
      <c r="C391" t="s">
        <v>11</v>
      </c>
      <c r="D391">
        <v>2000</v>
      </c>
      <c r="E391">
        <v>196000</v>
      </c>
      <c r="F391" t="s">
        <v>9</v>
      </c>
    </row>
    <row r="392" spans="1:6" x14ac:dyDescent="0.2">
      <c r="A392" t="s">
        <v>137</v>
      </c>
      <c r="B392" t="s">
        <v>12</v>
      </c>
      <c r="C392" t="s">
        <v>13</v>
      </c>
      <c r="D392">
        <v>65.41</v>
      </c>
      <c r="E392">
        <v>113916.26</v>
      </c>
      <c r="F392" t="s">
        <v>14</v>
      </c>
    </row>
    <row r="393" spans="1:6" x14ac:dyDescent="0.2">
      <c r="A393" t="s">
        <v>138</v>
      </c>
      <c r="B393" t="s">
        <v>7</v>
      </c>
      <c r="C393" t="s">
        <v>32</v>
      </c>
      <c r="D393">
        <v>2000</v>
      </c>
      <c r="E393">
        <v>52000</v>
      </c>
      <c r="F393" t="s">
        <v>9</v>
      </c>
    </row>
    <row r="394" spans="1:6" x14ac:dyDescent="0.2">
      <c r="A394" t="s">
        <v>138</v>
      </c>
      <c r="B394" t="s">
        <v>10</v>
      </c>
      <c r="C394" t="s">
        <v>11</v>
      </c>
      <c r="D394">
        <v>2000</v>
      </c>
      <c r="E394">
        <v>198000</v>
      </c>
      <c r="F394" t="s">
        <v>9</v>
      </c>
    </row>
    <row r="395" spans="1:6" x14ac:dyDescent="0.2">
      <c r="A395" t="s">
        <v>138</v>
      </c>
      <c r="B395" t="s">
        <v>12</v>
      </c>
      <c r="C395" t="s">
        <v>13</v>
      </c>
      <c r="D395">
        <v>65.41</v>
      </c>
      <c r="E395">
        <v>113850.85</v>
      </c>
      <c r="F395" t="s">
        <v>14</v>
      </c>
    </row>
    <row r="396" spans="1:6" x14ac:dyDescent="0.2">
      <c r="A396" t="s">
        <v>139</v>
      </c>
      <c r="B396" t="s">
        <v>7</v>
      </c>
      <c r="C396" t="s">
        <v>32</v>
      </c>
      <c r="D396">
        <v>2000</v>
      </c>
      <c r="E396">
        <v>50000</v>
      </c>
      <c r="F396" t="s">
        <v>9</v>
      </c>
    </row>
    <row r="397" spans="1:6" x14ac:dyDescent="0.2">
      <c r="A397" t="s">
        <v>139</v>
      </c>
      <c r="B397" t="s">
        <v>10</v>
      </c>
      <c r="C397" t="s">
        <v>11</v>
      </c>
      <c r="D397">
        <v>2000</v>
      </c>
      <c r="E397">
        <v>200000</v>
      </c>
      <c r="F397" t="s">
        <v>9</v>
      </c>
    </row>
    <row r="398" spans="1:6" x14ac:dyDescent="0.2">
      <c r="A398" t="s">
        <v>139</v>
      </c>
      <c r="B398" t="s">
        <v>12</v>
      </c>
      <c r="C398" t="s">
        <v>13</v>
      </c>
      <c r="D398">
        <v>65.41</v>
      </c>
      <c r="E398">
        <v>113785.44</v>
      </c>
      <c r="F398" t="s">
        <v>14</v>
      </c>
    </row>
    <row r="399" spans="1:6" x14ac:dyDescent="0.2">
      <c r="A399" t="s">
        <v>140</v>
      </c>
      <c r="B399" t="s">
        <v>7</v>
      </c>
      <c r="C399" t="s">
        <v>32</v>
      </c>
      <c r="D399">
        <v>2000</v>
      </c>
      <c r="E399">
        <v>48000</v>
      </c>
      <c r="F399" t="s">
        <v>9</v>
      </c>
    </row>
    <row r="400" spans="1:6" x14ac:dyDescent="0.2">
      <c r="A400" t="s">
        <v>140</v>
      </c>
      <c r="B400" t="s">
        <v>10</v>
      </c>
      <c r="C400" t="s">
        <v>11</v>
      </c>
      <c r="D400">
        <v>2000</v>
      </c>
      <c r="E400">
        <v>202000</v>
      </c>
      <c r="F400" t="s">
        <v>9</v>
      </c>
    </row>
    <row r="401" spans="1:15" x14ac:dyDescent="0.2">
      <c r="A401" t="s">
        <v>140</v>
      </c>
      <c r="B401" t="s">
        <v>12</v>
      </c>
      <c r="C401" t="s">
        <v>13</v>
      </c>
      <c r="D401">
        <v>65.44</v>
      </c>
      <c r="E401">
        <v>113720</v>
      </c>
      <c r="F401" t="s">
        <v>14</v>
      </c>
    </row>
    <row r="402" spans="1:15" x14ac:dyDescent="0.2">
      <c r="A402" t="s">
        <v>141</v>
      </c>
      <c r="B402" t="s">
        <v>27</v>
      </c>
      <c r="C402" t="s">
        <v>13</v>
      </c>
      <c r="E402">
        <v>113720</v>
      </c>
      <c r="F402" t="s">
        <v>28</v>
      </c>
      <c r="J402">
        <f>SUMIFS(D366:D401,B366:B401,"Deposit",C366:C401,"Savings")</f>
        <v>0</v>
      </c>
      <c r="K402">
        <f>SUMIFS(D366:D401,B366:B401,"Payment",C366:C401,"Savings")</f>
        <v>785</v>
      </c>
      <c r="L402">
        <f>SUMIFS(D366:D401,B366:B401,"Withdraw",C366:C401,"Savings")</f>
        <v>0</v>
      </c>
      <c r="M402">
        <f>M350+J402-K402-L402</f>
        <v>113720</v>
      </c>
    </row>
    <row r="403" spans="1:15" x14ac:dyDescent="0.2">
      <c r="A403" t="s">
        <v>141</v>
      </c>
      <c r="B403" t="s">
        <v>27</v>
      </c>
      <c r="C403" t="s">
        <v>29</v>
      </c>
      <c r="E403">
        <v>120000</v>
      </c>
      <c r="F403" t="s">
        <v>28</v>
      </c>
      <c r="J403">
        <f>SUMIFS(D366:D401,B366:B401,"Deposit",C366:C401,"Savings2")</f>
        <v>0</v>
      </c>
      <c r="L403">
        <f>SUMIFS(D366:D401,B366:B401,"Withdraw",C366:C401,"Savings2")</f>
        <v>0</v>
      </c>
      <c r="M403">
        <f>M351+J403-K403-L403</f>
        <v>120000</v>
      </c>
    </row>
    <row r="404" spans="1:15" x14ac:dyDescent="0.2">
      <c r="A404" t="s">
        <v>141</v>
      </c>
      <c r="B404" t="s">
        <v>27</v>
      </c>
      <c r="C404" t="s">
        <v>30</v>
      </c>
      <c r="E404">
        <v>120000</v>
      </c>
      <c r="F404" t="s">
        <v>28</v>
      </c>
      <c r="J404">
        <f>SUMIFS(D366:D401,B366:B401,"Deposit",C366:C401,"Brokerage")</f>
        <v>0</v>
      </c>
      <c r="L404">
        <f>SUMIFS(D366:D401,B366:B401,"Withdraw",C366:C401,"Brokerage")</f>
        <v>0</v>
      </c>
      <c r="M404">
        <f>M352+J404-K404-L404</f>
        <v>120000</v>
      </c>
    </row>
    <row r="405" spans="1:15" x14ac:dyDescent="0.2">
      <c r="A405" t="s">
        <v>141</v>
      </c>
      <c r="B405" t="s">
        <v>27</v>
      </c>
      <c r="C405" t="s">
        <v>31</v>
      </c>
      <c r="E405">
        <v>120000</v>
      </c>
      <c r="F405" t="s">
        <v>28</v>
      </c>
      <c r="J405">
        <f>SUMIFS(D366:D401,B366:B401,"Deposit",C366:C401,"Brokerage2")</f>
        <v>0</v>
      </c>
      <c r="L405">
        <f>SUMIFS(D366:D401,B366:B401,"Withdraw",C366:C401,"Brokerage2")</f>
        <v>0</v>
      </c>
      <c r="M405">
        <f>M353+J405-K405-L405</f>
        <v>120000</v>
      </c>
    </row>
    <row r="406" spans="1:15" x14ac:dyDescent="0.2">
      <c r="A406" t="s">
        <v>141</v>
      </c>
      <c r="B406" t="s">
        <v>27</v>
      </c>
      <c r="C406" t="s">
        <v>8</v>
      </c>
      <c r="E406">
        <v>0</v>
      </c>
      <c r="F406" t="s">
        <v>28</v>
      </c>
      <c r="J406">
        <f>SUMIFS(D366:D401,B366:B401,"Deposit",C366:C401,"IRA")</f>
        <v>0</v>
      </c>
      <c r="L406">
        <f>SUMIFS(D366:D401,B366:B401,"Withdraw",C366:C401,"IRA")</f>
        <v>0</v>
      </c>
      <c r="M406">
        <f>M354+J406-K406-L406</f>
        <v>0</v>
      </c>
    </row>
    <row r="407" spans="1:15" x14ac:dyDescent="0.2">
      <c r="A407" t="s">
        <v>141</v>
      </c>
      <c r="B407" t="s">
        <v>27</v>
      </c>
      <c r="C407" t="s">
        <v>32</v>
      </c>
      <c r="E407">
        <v>48000</v>
      </c>
      <c r="F407" t="s">
        <v>28</v>
      </c>
      <c r="J407">
        <f>SUMIFS(D366:D401,B366:B401,"Deposit",C366:C401,"IRA2")</f>
        <v>0</v>
      </c>
      <c r="L407">
        <f>SUMIFS(D366:D401,B366:B401,"Withdraw",C366:C401,"IRA2")</f>
        <v>24000</v>
      </c>
      <c r="M407">
        <f>M355+J407-K407-L407</f>
        <v>48000</v>
      </c>
    </row>
    <row r="408" spans="1:15" x14ac:dyDescent="0.2">
      <c r="A408" t="s">
        <v>141</v>
      </c>
      <c r="B408" t="s">
        <v>27</v>
      </c>
      <c r="C408" t="s">
        <v>11</v>
      </c>
      <c r="E408">
        <v>202000</v>
      </c>
      <c r="F408" t="s">
        <v>28</v>
      </c>
      <c r="J408">
        <f>SUMIFS(D366:D401,B366:B401,"Deposit",C366:C401,"Roth")</f>
        <v>24000</v>
      </c>
      <c r="L408">
        <f>SUMIFS(D366:D401,B366:B401,"Withdraw",C366:C401,"Roth")</f>
        <v>0</v>
      </c>
      <c r="M408">
        <f>M356+J408-K408-L408</f>
        <v>202000</v>
      </c>
    </row>
    <row r="409" spans="1:15" x14ac:dyDescent="0.2">
      <c r="A409" t="s">
        <v>141</v>
      </c>
      <c r="B409" t="s">
        <v>27</v>
      </c>
      <c r="C409" t="s">
        <v>33</v>
      </c>
      <c r="E409">
        <v>10000</v>
      </c>
      <c r="F409" t="s">
        <v>28</v>
      </c>
      <c r="J409">
        <f>SUMIFS(D366:D401,B366:B401,"Deposit",C366:C401,"Roth2")</f>
        <v>0</v>
      </c>
      <c r="L409">
        <f>SUMIFS(D366:D401,B366:B401,"Withdraw",C366:C401,"Roth2")</f>
        <v>0</v>
      </c>
      <c r="M409">
        <f>M357+J409-K409-L409</f>
        <v>10000</v>
      </c>
    </row>
    <row r="410" spans="1:15" x14ac:dyDescent="0.2">
      <c r="A410" t="s">
        <v>141</v>
      </c>
      <c r="B410" t="s">
        <v>34</v>
      </c>
      <c r="C410" t="s">
        <v>35</v>
      </c>
      <c r="E410">
        <v>0</v>
      </c>
      <c r="F410" t="s">
        <v>36</v>
      </c>
      <c r="J410">
        <f>SUMIFS(D366:D401,C366:C401,"Savings",B366:B401,"Deposit",F366:F401,"=*income*")</f>
        <v>0</v>
      </c>
      <c r="K410">
        <f>J410*6.2%</f>
        <v>0</v>
      </c>
    </row>
    <row r="411" spans="1:15" x14ac:dyDescent="0.2">
      <c r="A411" t="s">
        <v>141</v>
      </c>
      <c r="B411" t="s">
        <v>34</v>
      </c>
      <c r="C411" t="s">
        <v>37</v>
      </c>
      <c r="E411">
        <v>0</v>
      </c>
      <c r="F411" t="s">
        <v>38</v>
      </c>
      <c r="J411">
        <f>J410</f>
        <v>0</v>
      </c>
      <c r="K411">
        <f>J411*1.45%</f>
        <v>0</v>
      </c>
    </row>
    <row r="412" spans="1:15" x14ac:dyDescent="0.2">
      <c r="A412" t="s">
        <v>141</v>
      </c>
      <c r="B412" t="s">
        <v>34</v>
      </c>
      <c r="C412" t="s">
        <v>39</v>
      </c>
      <c r="E412">
        <v>0</v>
      </c>
      <c r="F412" t="s">
        <v>40</v>
      </c>
    </row>
    <row r="413" spans="1:15" x14ac:dyDescent="0.2">
      <c r="A413" t="s">
        <v>141</v>
      </c>
      <c r="B413" t="s">
        <v>34</v>
      </c>
      <c r="C413" t="s">
        <v>41</v>
      </c>
      <c r="E413">
        <v>0</v>
      </c>
      <c r="F413" t="s">
        <v>42</v>
      </c>
    </row>
    <row r="414" spans="1:15" x14ac:dyDescent="0.2">
      <c r="A414" t="s">
        <v>141</v>
      </c>
      <c r="B414" t="s">
        <v>34</v>
      </c>
      <c r="C414" t="s">
        <v>43</v>
      </c>
      <c r="E414">
        <v>24000</v>
      </c>
      <c r="F414" t="s">
        <v>44</v>
      </c>
      <c r="J414">
        <f>J410</f>
        <v>0</v>
      </c>
      <c r="K414">
        <v>0</v>
      </c>
      <c r="L414">
        <f>SUM(L404:L405)/2</f>
        <v>0</v>
      </c>
      <c r="M414">
        <f>SUM(L406:L407)</f>
        <v>24000</v>
      </c>
      <c r="O414">
        <f>SUM(J414:N414)</f>
        <v>24000</v>
      </c>
    </row>
    <row r="415" spans="1:15" x14ac:dyDescent="0.2">
      <c r="A415" t="s">
        <v>141</v>
      </c>
      <c r="B415" t="s">
        <v>34</v>
      </c>
      <c r="C415" t="s">
        <v>45</v>
      </c>
      <c r="E415">
        <v>785</v>
      </c>
      <c r="F415" t="s">
        <v>46</v>
      </c>
    </row>
    <row r="416" spans="1:15" x14ac:dyDescent="0.2">
      <c r="A416" t="s">
        <v>141</v>
      </c>
      <c r="B416" t="s">
        <v>34</v>
      </c>
      <c r="C416" t="s">
        <v>47</v>
      </c>
      <c r="E416">
        <v>0</v>
      </c>
      <c r="F416" t="s">
        <v>48</v>
      </c>
      <c r="J416" s="1" t="s">
        <v>183</v>
      </c>
      <c r="K416" s="1">
        <f>SUMIFS(D366:D401,B366:B401,"Withdraw",F366:F401,"=*ROTH conversion*")</f>
        <v>24000</v>
      </c>
      <c r="L416" s="1"/>
      <c r="M416" s="1" t="s">
        <v>184</v>
      </c>
      <c r="N416" s="1">
        <f>SUMIFS(D366:D401,B366:B401,"Withdraw",F366:F401,"=*RMD*")</f>
        <v>0</v>
      </c>
    </row>
    <row r="417" spans="1:6" x14ac:dyDescent="0.2">
      <c r="A417" t="s">
        <v>141</v>
      </c>
      <c r="B417" t="s">
        <v>34</v>
      </c>
      <c r="C417" t="s">
        <v>49</v>
      </c>
      <c r="E417">
        <v>0</v>
      </c>
      <c r="F417" t="s">
        <v>50</v>
      </c>
    </row>
    <row r="418" spans="1:6" x14ac:dyDescent="0.2">
      <c r="A418" t="s">
        <v>142</v>
      </c>
      <c r="B418" t="s">
        <v>7</v>
      </c>
      <c r="C418" t="s">
        <v>32</v>
      </c>
      <c r="D418">
        <v>150.94</v>
      </c>
      <c r="E418">
        <v>47849.06</v>
      </c>
      <c r="F418" t="s">
        <v>143</v>
      </c>
    </row>
    <row r="419" spans="1:6" x14ac:dyDescent="0.2">
      <c r="A419" t="s">
        <v>142</v>
      </c>
      <c r="B419" t="s">
        <v>10</v>
      </c>
      <c r="C419" t="s">
        <v>13</v>
      </c>
      <c r="D419">
        <v>150.94</v>
      </c>
      <c r="E419">
        <v>113870.94</v>
      </c>
      <c r="F419" t="s">
        <v>144</v>
      </c>
    </row>
    <row r="420" spans="1:6" x14ac:dyDescent="0.2">
      <c r="A420" t="s">
        <v>142</v>
      </c>
      <c r="B420" t="s">
        <v>7</v>
      </c>
      <c r="C420" t="s">
        <v>32</v>
      </c>
      <c r="D420">
        <v>2000</v>
      </c>
      <c r="E420">
        <v>45849.06</v>
      </c>
      <c r="F420" t="s">
        <v>9</v>
      </c>
    </row>
    <row r="421" spans="1:6" x14ac:dyDescent="0.2">
      <c r="A421" t="s">
        <v>142</v>
      </c>
      <c r="B421" t="s">
        <v>10</v>
      </c>
      <c r="C421" t="s">
        <v>11</v>
      </c>
      <c r="D421">
        <v>2000</v>
      </c>
      <c r="E421">
        <v>204000</v>
      </c>
      <c r="F421" t="s">
        <v>9</v>
      </c>
    </row>
    <row r="422" spans="1:6" x14ac:dyDescent="0.2">
      <c r="A422" t="s">
        <v>142</v>
      </c>
      <c r="B422" t="s">
        <v>12</v>
      </c>
      <c r="C422" t="s">
        <v>13</v>
      </c>
      <c r="D422">
        <v>80.5</v>
      </c>
      <c r="E422">
        <v>113790.44</v>
      </c>
      <c r="F422" t="s">
        <v>14</v>
      </c>
    </row>
    <row r="423" spans="1:6" x14ac:dyDescent="0.2">
      <c r="A423" t="s">
        <v>145</v>
      </c>
      <c r="B423" t="s">
        <v>7</v>
      </c>
      <c r="C423" t="s">
        <v>32</v>
      </c>
      <c r="D423">
        <v>150.94</v>
      </c>
      <c r="E423">
        <v>45698.12</v>
      </c>
      <c r="F423" t="s">
        <v>143</v>
      </c>
    </row>
    <row r="424" spans="1:6" x14ac:dyDescent="0.2">
      <c r="A424" t="s">
        <v>145</v>
      </c>
      <c r="B424" t="s">
        <v>10</v>
      </c>
      <c r="C424" t="s">
        <v>13</v>
      </c>
      <c r="D424">
        <v>150.94</v>
      </c>
      <c r="E424">
        <v>113941.38</v>
      </c>
      <c r="F424" t="s">
        <v>144</v>
      </c>
    </row>
    <row r="425" spans="1:6" x14ac:dyDescent="0.2">
      <c r="A425" t="s">
        <v>145</v>
      </c>
      <c r="B425" t="s">
        <v>7</v>
      </c>
      <c r="C425" t="s">
        <v>32</v>
      </c>
      <c r="D425">
        <v>2000</v>
      </c>
      <c r="E425">
        <v>43698.12</v>
      </c>
      <c r="F425" t="s">
        <v>9</v>
      </c>
    </row>
    <row r="426" spans="1:6" x14ac:dyDescent="0.2">
      <c r="A426" t="s">
        <v>145</v>
      </c>
      <c r="B426" t="s">
        <v>10</v>
      </c>
      <c r="C426" t="s">
        <v>11</v>
      </c>
      <c r="D426">
        <v>2000</v>
      </c>
      <c r="E426">
        <v>206000</v>
      </c>
      <c r="F426" t="s">
        <v>9</v>
      </c>
    </row>
    <row r="427" spans="1:6" x14ac:dyDescent="0.2">
      <c r="A427" t="s">
        <v>145</v>
      </c>
      <c r="B427" t="s">
        <v>12</v>
      </c>
      <c r="C427" t="s">
        <v>13</v>
      </c>
      <c r="D427">
        <v>80.5</v>
      </c>
      <c r="E427">
        <v>113860.88</v>
      </c>
      <c r="F427" t="s">
        <v>14</v>
      </c>
    </row>
    <row r="428" spans="1:6" x14ac:dyDescent="0.2">
      <c r="A428" t="s">
        <v>146</v>
      </c>
      <c r="B428" t="s">
        <v>7</v>
      </c>
      <c r="C428" t="s">
        <v>32</v>
      </c>
      <c r="D428">
        <v>150.94</v>
      </c>
      <c r="E428">
        <v>43547.18</v>
      </c>
      <c r="F428" t="s">
        <v>143</v>
      </c>
    </row>
    <row r="429" spans="1:6" x14ac:dyDescent="0.2">
      <c r="A429" t="s">
        <v>146</v>
      </c>
      <c r="B429" t="s">
        <v>10</v>
      </c>
      <c r="C429" t="s">
        <v>13</v>
      </c>
      <c r="D429">
        <v>150.94</v>
      </c>
      <c r="E429">
        <v>114011.82</v>
      </c>
      <c r="F429" t="s">
        <v>144</v>
      </c>
    </row>
    <row r="430" spans="1:6" x14ac:dyDescent="0.2">
      <c r="A430" t="s">
        <v>146</v>
      </c>
      <c r="B430" t="s">
        <v>7</v>
      </c>
      <c r="C430" t="s">
        <v>32</v>
      </c>
      <c r="D430">
        <v>2000</v>
      </c>
      <c r="E430">
        <v>41547.18</v>
      </c>
      <c r="F430" t="s">
        <v>9</v>
      </c>
    </row>
    <row r="431" spans="1:6" x14ac:dyDescent="0.2">
      <c r="A431" t="s">
        <v>146</v>
      </c>
      <c r="B431" t="s">
        <v>10</v>
      </c>
      <c r="C431" t="s">
        <v>11</v>
      </c>
      <c r="D431">
        <v>2000</v>
      </c>
      <c r="E431">
        <v>208000</v>
      </c>
      <c r="F431" t="s">
        <v>9</v>
      </c>
    </row>
    <row r="432" spans="1:6" x14ac:dyDescent="0.2">
      <c r="A432" t="s">
        <v>146</v>
      </c>
      <c r="B432" t="s">
        <v>12</v>
      </c>
      <c r="C432" t="s">
        <v>13</v>
      </c>
      <c r="D432">
        <v>80.5</v>
      </c>
      <c r="E432">
        <v>113931.32</v>
      </c>
      <c r="F432" t="s">
        <v>14</v>
      </c>
    </row>
    <row r="433" spans="1:6" x14ac:dyDescent="0.2">
      <c r="A433" t="s">
        <v>147</v>
      </c>
      <c r="B433" t="s">
        <v>7</v>
      </c>
      <c r="C433" t="s">
        <v>32</v>
      </c>
      <c r="D433">
        <v>150.94</v>
      </c>
      <c r="E433">
        <v>41396.239999999998</v>
      </c>
      <c r="F433" t="s">
        <v>143</v>
      </c>
    </row>
    <row r="434" spans="1:6" x14ac:dyDescent="0.2">
      <c r="A434" t="s">
        <v>147</v>
      </c>
      <c r="B434" t="s">
        <v>10</v>
      </c>
      <c r="C434" t="s">
        <v>13</v>
      </c>
      <c r="D434">
        <v>150.94</v>
      </c>
      <c r="E434">
        <v>114082.26</v>
      </c>
      <c r="F434" t="s">
        <v>144</v>
      </c>
    </row>
    <row r="435" spans="1:6" x14ac:dyDescent="0.2">
      <c r="A435" t="s">
        <v>147</v>
      </c>
      <c r="B435" t="s">
        <v>7</v>
      </c>
      <c r="C435" t="s">
        <v>32</v>
      </c>
      <c r="D435">
        <v>2000</v>
      </c>
      <c r="E435">
        <v>39396.239999999998</v>
      </c>
      <c r="F435" t="s">
        <v>9</v>
      </c>
    </row>
    <row r="436" spans="1:6" x14ac:dyDescent="0.2">
      <c r="A436" t="s">
        <v>147</v>
      </c>
      <c r="B436" t="s">
        <v>10</v>
      </c>
      <c r="C436" t="s">
        <v>11</v>
      </c>
      <c r="D436">
        <v>2000</v>
      </c>
      <c r="E436">
        <v>210000</v>
      </c>
      <c r="F436" t="s">
        <v>9</v>
      </c>
    </row>
    <row r="437" spans="1:6" x14ac:dyDescent="0.2">
      <c r="A437" t="s">
        <v>147</v>
      </c>
      <c r="B437" t="s">
        <v>12</v>
      </c>
      <c r="C437" t="s">
        <v>13</v>
      </c>
      <c r="D437">
        <v>80.5</v>
      </c>
      <c r="E437">
        <v>114001.76</v>
      </c>
      <c r="F437" t="s">
        <v>14</v>
      </c>
    </row>
    <row r="438" spans="1:6" x14ac:dyDescent="0.2">
      <c r="A438" t="s">
        <v>148</v>
      </c>
      <c r="B438" t="s">
        <v>7</v>
      </c>
      <c r="C438" t="s">
        <v>32</v>
      </c>
      <c r="D438">
        <v>150.94</v>
      </c>
      <c r="E438">
        <v>39245.300000000003</v>
      </c>
      <c r="F438" t="s">
        <v>143</v>
      </c>
    </row>
    <row r="439" spans="1:6" x14ac:dyDescent="0.2">
      <c r="A439" t="s">
        <v>148</v>
      </c>
      <c r="B439" t="s">
        <v>10</v>
      </c>
      <c r="C439" t="s">
        <v>13</v>
      </c>
      <c r="D439">
        <v>150.94</v>
      </c>
      <c r="E439">
        <v>114152.7</v>
      </c>
      <c r="F439" t="s">
        <v>144</v>
      </c>
    </row>
    <row r="440" spans="1:6" x14ac:dyDescent="0.2">
      <c r="A440" t="s">
        <v>148</v>
      </c>
      <c r="B440" t="s">
        <v>7</v>
      </c>
      <c r="C440" t="s">
        <v>32</v>
      </c>
      <c r="D440">
        <v>2000</v>
      </c>
      <c r="E440">
        <v>37245.300000000003</v>
      </c>
      <c r="F440" t="s">
        <v>9</v>
      </c>
    </row>
    <row r="441" spans="1:6" x14ac:dyDescent="0.2">
      <c r="A441" t="s">
        <v>148</v>
      </c>
      <c r="B441" t="s">
        <v>10</v>
      </c>
      <c r="C441" t="s">
        <v>11</v>
      </c>
      <c r="D441">
        <v>2000</v>
      </c>
      <c r="E441">
        <v>212000</v>
      </c>
      <c r="F441" t="s">
        <v>9</v>
      </c>
    </row>
    <row r="442" spans="1:6" x14ac:dyDescent="0.2">
      <c r="A442" t="s">
        <v>148</v>
      </c>
      <c r="B442" t="s">
        <v>12</v>
      </c>
      <c r="C442" t="s">
        <v>13</v>
      </c>
      <c r="D442">
        <v>80.5</v>
      </c>
      <c r="E442">
        <v>114072.2</v>
      </c>
      <c r="F442" t="s">
        <v>14</v>
      </c>
    </row>
    <row r="443" spans="1:6" x14ac:dyDescent="0.2">
      <c r="A443" t="s">
        <v>149</v>
      </c>
      <c r="B443" t="s">
        <v>7</v>
      </c>
      <c r="C443" t="s">
        <v>32</v>
      </c>
      <c r="D443">
        <v>150.94</v>
      </c>
      <c r="E443">
        <v>37094.36</v>
      </c>
      <c r="F443" t="s">
        <v>143</v>
      </c>
    </row>
    <row r="444" spans="1:6" x14ac:dyDescent="0.2">
      <c r="A444" t="s">
        <v>149</v>
      </c>
      <c r="B444" t="s">
        <v>10</v>
      </c>
      <c r="C444" t="s">
        <v>13</v>
      </c>
      <c r="D444">
        <v>150.94</v>
      </c>
      <c r="E444">
        <v>114223.14</v>
      </c>
      <c r="F444" t="s">
        <v>144</v>
      </c>
    </row>
    <row r="445" spans="1:6" x14ac:dyDescent="0.2">
      <c r="A445" t="s">
        <v>149</v>
      </c>
      <c r="B445" t="s">
        <v>7</v>
      </c>
      <c r="C445" t="s">
        <v>32</v>
      </c>
      <c r="D445">
        <v>2000</v>
      </c>
      <c r="E445">
        <v>35094.36</v>
      </c>
      <c r="F445" t="s">
        <v>9</v>
      </c>
    </row>
    <row r="446" spans="1:6" x14ac:dyDescent="0.2">
      <c r="A446" t="s">
        <v>149</v>
      </c>
      <c r="B446" t="s">
        <v>10</v>
      </c>
      <c r="C446" t="s">
        <v>11</v>
      </c>
      <c r="D446">
        <v>2000</v>
      </c>
      <c r="E446">
        <v>214000</v>
      </c>
      <c r="F446" t="s">
        <v>9</v>
      </c>
    </row>
    <row r="447" spans="1:6" x14ac:dyDescent="0.2">
      <c r="A447" t="s">
        <v>149</v>
      </c>
      <c r="B447" t="s">
        <v>12</v>
      </c>
      <c r="C447" t="s">
        <v>13</v>
      </c>
      <c r="D447">
        <v>80.5</v>
      </c>
      <c r="E447">
        <v>114142.64</v>
      </c>
      <c r="F447" t="s">
        <v>14</v>
      </c>
    </row>
    <row r="448" spans="1:6" x14ac:dyDescent="0.2">
      <c r="A448" t="s">
        <v>150</v>
      </c>
      <c r="B448" t="s">
        <v>7</v>
      </c>
      <c r="C448" t="s">
        <v>32</v>
      </c>
      <c r="D448">
        <v>150.94</v>
      </c>
      <c r="E448">
        <v>34943.42</v>
      </c>
      <c r="F448" t="s">
        <v>143</v>
      </c>
    </row>
    <row r="449" spans="1:6" x14ac:dyDescent="0.2">
      <c r="A449" t="s">
        <v>150</v>
      </c>
      <c r="B449" t="s">
        <v>10</v>
      </c>
      <c r="C449" t="s">
        <v>13</v>
      </c>
      <c r="D449">
        <v>150.94</v>
      </c>
      <c r="E449">
        <v>114293.58</v>
      </c>
      <c r="F449" t="s">
        <v>144</v>
      </c>
    </row>
    <row r="450" spans="1:6" x14ac:dyDescent="0.2">
      <c r="A450" t="s">
        <v>150</v>
      </c>
      <c r="B450" t="s">
        <v>7</v>
      </c>
      <c r="C450" t="s">
        <v>32</v>
      </c>
      <c r="D450">
        <v>2000</v>
      </c>
      <c r="E450">
        <v>32943.42</v>
      </c>
      <c r="F450" t="s">
        <v>9</v>
      </c>
    </row>
    <row r="451" spans="1:6" x14ac:dyDescent="0.2">
      <c r="A451" t="s">
        <v>150</v>
      </c>
      <c r="B451" t="s">
        <v>10</v>
      </c>
      <c r="C451" t="s">
        <v>11</v>
      </c>
      <c r="D451">
        <v>2000</v>
      </c>
      <c r="E451">
        <v>216000</v>
      </c>
      <c r="F451" t="s">
        <v>9</v>
      </c>
    </row>
    <row r="452" spans="1:6" x14ac:dyDescent="0.2">
      <c r="A452" t="s">
        <v>150</v>
      </c>
      <c r="B452" t="s">
        <v>12</v>
      </c>
      <c r="C452" t="s">
        <v>13</v>
      </c>
      <c r="D452">
        <v>80.5</v>
      </c>
      <c r="E452">
        <v>114213.08</v>
      </c>
      <c r="F452" t="s">
        <v>14</v>
      </c>
    </row>
    <row r="453" spans="1:6" x14ac:dyDescent="0.2">
      <c r="A453" t="s">
        <v>151</v>
      </c>
      <c r="B453" t="s">
        <v>7</v>
      </c>
      <c r="C453" t="s">
        <v>32</v>
      </c>
      <c r="D453">
        <v>150.94</v>
      </c>
      <c r="E453">
        <v>32792.480000000003</v>
      </c>
      <c r="F453" t="s">
        <v>143</v>
      </c>
    </row>
    <row r="454" spans="1:6" x14ac:dyDescent="0.2">
      <c r="A454" t="s">
        <v>151</v>
      </c>
      <c r="B454" t="s">
        <v>10</v>
      </c>
      <c r="C454" t="s">
        <v>13</v>
      </c>
      <c r="D454">
        <v>150.94</v>
      </c>
      <c r="E454">
        <v>114364.02</v>
      </c>
      <c r="F454" t="s">
        <v>144</v>
      </c>
    </row>
    <row r="455" spans="1:6" x14ac:dyDescent="0.2">
      <c r="A455" t="s">
        <v>151</v>
      </c>
      <c r="B455" t="s">
        <v>7</v>
      </c>
      <c r="C455" t="s">
        <v>32</v>
      </c>
      <c r="D455">
        <v>2000</v>
      </c>
      <c r="E455">
        <v>30792.48</v>
      </c>
      <c r="F455" t="s">
        <v>9</v>
      </c>
    </row>
    <row r="456" spans="1:6" x14ac:dyDescent="0.2">
      <c r="A456" t="s">
        <v>151</v>
      </c>
      <c r="B456" t="s">
        <v>10</v>
      </c>
      <c r="C456" t="s">
        <v>11</v>
      </c>
      <c r="D456">
        <v>2000</v>
      </c>
      <c r="E456">
        <v>218000</v>
      </c>
      <c r="F456" t="s">
        <v>9</v>
      </c>
    </row>
    <row r="457" spans="1:6" x14ac:dyDescent="0.2">
      <c r="A457" t="s">
        <v>151</v>
      </c>
      <c r="B457" t="s">
        <v>12</v>
      </c>
      <c r="C457" t="s">
        <v>13</v>
      </c>
      <c r="D457">
        <v>80.5</v>
      </c>
      <c r="E457">
        <v>114283.52</v>
      </c>
      <c r="F457" t="s">
        <v>14</v>
      </c>
    </row>
    <row r="458" spans="1:6" x14ac:dyDescent="0.2">
      <c r="A458" t="s">
        <v>152</v>
      </c>
      <c r="B458" t="s">
        <v>7</v>
      </c>
      <c r="C458" t="s">
        <v>32</v>
      </c>
      <c r="D458">
        <v>150.94</v>
      </c>
      <c r="E458">
        <v>30641.54</v>
      </c>
      <c r="F458" t="s">
        <v>143</v>
      </c>
    </row>
    <row r="459" spans="1:6" x14ac:dyDescent="0.2">
      <c r="A459" t="s">
        <v>152</v>
      </c>
      <c r="B459" t="s">
        <v>10</v>
      </c>
      <c r="C459" t="s">
        <v>13</v>
      </c>
      <c r="D459">
        <v>150.94</v>
      </c>
      <c r="E459">
        <v>114434.46</v>
      </c>
      <c r="F459" t="s">
        <v>144</v>
      </c>
    </row>
    <row r="460" spans="1:6" x14ac:dyDescent="0.2">
      <c r="A460" t="s">
        <v>152</v>
      </c>
      <c r="B460" t="s">
        <v>7</v>
      </c>
      <c r="C460" t="s">
        <v>32</v>
      </c>
      <c r="D460">
        <v>2000</v>
      </c>
      <c r="E460">
        <v>28641.54</v>
      </c>
      <c r="F460" t="s">
        <v>9</v>
      </c>
    </row>
    <row r="461" spans="1:6" x14ac:dyDescent="0.2">
      <c r="A461" t="s">
        <v>152</v>
      </c>
      <c r="B461" t="s">
        <v>10</v>
      </c>
      <c r="C461" t="s">
        <v>11</v>
      </c>
      <c r="D461">
        <v>2000</v>
      </c>
      <c r="E461">
        <v>220000</v>
      </c>
      <c r="F461" t="s">
        <v>9</v>
      </c>
    </row>
    <row r="462" spans="1:6" x14ac:dyDescent="0.2">
      <c r="A462" t="s">
        <v>152</v>
      </c>
      <c r="B462" t="s">
        <v>12</v>
      </c>
      <c r="C462" t="s">
        <v>13</v>
      </c>
      <c r="D462">
        <v>80.5</v>
      </c>
      <c r="E462">
        <v>114353.96</v>
      </c>
      <c r="F462" t="s">
        <v>14</v>
      </c>
    </row>
    <row r="463" spans="1:6" x14ac:dyDescent="0.2">
      <c r="A463" t="s">
        <v>153</v>
      </c>
      <c r="B463" t="s">
        <v>7</v>
      </c>
      <c r="C463" t="s">
        <v>32</v>
      </c>
      <c r="D463">
        <v>150.94</v>
      </c>
      <c r="E463">
        <v>28490.6</v>
      </c>
      <c r="F463" t="s">
        <v>143</v>
      </c>
    </row>
    <row r="464" spans="1:6" x14ac:dyDescent="0.2">
      <c r="A464" t="s">
        <v>153</v>
      </c>
      <c r="B464" t="s">
        <v>10</v>
      </c>
      <c r="C464" t="s">
        <v>13</v>
      </c>
      <c r="D464">
        <v>150.94</v>
      </c>
      <c r="E464">
        <v>114504.9</v>
      </c>
      <c r="F464" t="s">
        <v>144</v>
      </c>
    </row>
    <row r="465" spans="1:13" x14ac:dyDescent="0.2">
      <c r="A465" t="s">
        <v>153</v>
      </c>
      <c r="B465" t="s">
        <v>7</v>
      </c>
      <c r="C465" t="s">
        <v>32</v>
      </c>
      <c r="D465">
        <v>2000</v>
      </c>
      <c r="E465">
        <v>26490.6</v>
      </c>
      <c r="F465" t="s">
        <v>9</v>
      </c>
    </row>
    <row r="466" spans="1:13" x14ac:dyDescent="0.2">
      <c r="A466" t="s">
        <v>153</v>
      </c>
      <c r="B466" t="s">
        <v>10</v>
      </c>
      <c r="C466" t="s">
        <v>11</v>
      </c>
      <c r="D466">
        <v>2000</v>
      </c>
      <c r="E466">
        <v>222000</v>
      </c>
      <c r="F466" t="s">
        <v>9</v>
      </c>
    </row>
    <row r="467" spans="1:13" x14ac:dyDescent="0.2">
      <c r="A467" t="s">
        <v>153</v>
      </c>
      <c r="B467" t="s">
        <v>12</v>
      </c>
      <c r="C467" t="s">
        <v>13</v>
      </c>
      <c r="D467">
        <v>80.5</v>
      </c>
      <c r="E467">
        <v>114424.4</v>
      </c>
      <c r="F467" t="s">
        <v>14</v>
      </c>
    </row>
    <row r="468" spans="1:13" x14ac:dyDescent="0.2">
      <c r="A468" t="s">
        <v>154</v>
      </c>
      <c r="B468" t="s">
        <v>7</v>
      </c>
      <c r="C468" t="s">
        <v>32</v>
      </c>
      <c r="D468">
        <v>150.94</v>
      </c>
      <c r="E468">
        <v>26339.66</v>
      </c>
      <c r="F468" t="s">
        <v>143</v>
      </c>
    </row>
    <row r="469" spans="1:13" x14ac:dyDescent="0.2">
      <c r="A469" t="s">
        <v>154</v>
      </c>
      <c r="B469" t="s">
        <v>10</v>
      </c>
      <c r="C469" t="s">
        <v>13</v>
      </c>
      <c r="D469">
        <v>150.94</v>
      </c>
      <c r="E469">
        <v>114575.34</v>
      </c>
      <c r="F469" t="s">
        <v>144</v>
      </c>
    </row>
    <row r="470" spans="1:13" x14ac:dyDescent="0.2">
      <c r="A470" t="s">
        <v>154</v>
      </c>
      <c r="B470" t="s">
        <v>7</v>
      </c>
      <c r="C470" t="s">
        <v>32</v>
      </c>
      <c r="D470">
        <v>2000</v>
      </c>
      <c r="E470">
        <v>24339.66</v>
      </c>
      <c r="F470" t="s">
        <v>9</v>
      </c>
    </row>
    <row r="471" spans="1:13" x14ac:dyDescent="0.2">
      <c r="A471" t="s">
        <v>154</v>
      </c>
      <c r="B471" t="s">
        <v>10</v>
      </c>
      <c r="C471" t="s">
        <v>11</v>
      </c>
      <c r="D471">
        <v>2000</v>
      </c>
      <c r="E471">
        <v>224000</v>
      </c>
      <c r="F471" t="s">
        <v>9</v>
      </c>
    </row>
    <row r="472" spans="1:13" x14ac:dyDescent="0.2">
      <c r="A472" t="s">
        <v>154</v>
      </c>
      <c r="B472" t="s">
        <v>12</v>
      </c>
      <c r="C472" t="s">
        <v>13</v>
      </c>
      <c r="D472">
        <v>80.5</v>
      </c>
      <c r="E472">
        <v>114494.84</v>
      </c>
      <c r="F472" t="s">
        <v>14</v>
      </c>
    </row>
    <row r="473" spans="1:13" x14ac:dyDescent="0.2">
      <c r="A473" t="s">
        <v>155</v>
      </c>
      <c r="B473" t="s">
        <v>7</v>
      </c>
      <c r="C473" t="s">
        <v>32</v>
      </c>
      <c r="D473">
        <v>150.97999999999999</v>
      </c>
      <c r="E473">
        <v>24188.68</v>
      </c>
      <c r="F473" t="s">
        <v>143</v>
      </c>
    </row>
    <row r="474" spans="1:13" x14ac:dyDescent="0.2">
      <c r="A474" t="s">
        <v>155</v>
      </c>
      <c r="B474" t="s">
        <v>10</v>
      </c>
      <c r="C474" t="s">
        <v>13</v>
      </c>
      <c r="D474">
        <v>150.97999999999999</v>
      </c>
      <c r="E474">
        <v>114645.82</v>
      </c>
      <c r="F474" t="s">
        <v>144</v>
      </c>
    </row>
    <row r="475" spans="1:13" x14ac:dyDescent="0.2">
      <c r="A475" t="s">
        <v>155</v>
      </c>
      <c r="B475" t="s">
        <v>7</v>
      </c>
      <c r="C475" t="s">
        <v>32</v>
      </c>
      <c r="D475">
        <v>2000</v>
      </c>
      <c r="E475">
        <v>22188.68</v>
      </c>
      <c r="F475" t="s">
        <v>9</v>
      </c>
    </row>
    <row r="476" spans="1:13" x14ac:dyDescent="0.2">
      <c r="A476" t="s">
        <v>155</v>
      </c>
      <c r="B476" t="s">
        <v>10</v>
      </c>
      <c r="C476" t="s">
        <v>11</v>
      </c>
      <c r="D476">
        <v>2000</v>
      </c>
      <c r="E476">
        <v>226000</v>
      </c>
      <c r="F476" t="s">
        <v>9</v>
      </c>
    </row>
    <row r="477" spans="1:13" x14ac:dyDescent="0.2">
      <c r="A477" t="s">
        <v>155</v>
      </c>
      <c r="B477" t="s">
        <v>12</v>
      </c>
      <c r="C477" t="s">
        <v>13</v>
      </c>
      <c r="D477">
        <v>80.5</v>
      </c>
      <c r="E477">
        <v>114565.32</v>
      </c>
      <c r="F477" t="s">
        <v>14</v>
      </c>
    </row>
    <row r="478" spans="1:13" x14ac:dyDescent="0.2">
      <c r="A478" t="s">
        <v>156</v>
      </c>
      <c r="B478" t="s">
        <v>27</v>
      </c>
      <c r="C478" t="s">
        <v>13</v>
      </c>
      <c r="E478">
        <v>114565.32</v>
      </c>
      <c r="F478" t="s">
        <v>28</v>
      </c>
      <c r="J478">
        <f>SUMIFS(D418:D477,B418:B477,"Deposit",C418:C477,"Savings")</f>
        <v>1811.3200000000004</v>
      </c>
      <c r="K478">
        <f>SUMIFS(D418:D477,B418:B477,"Payment",C418:C477,"Savings")</f>
        <v>966</v>
      </c>
      <c r="L478">
        <f>SUMIFS(D418:D477,B418:B477,"Withdraw",C418:C477,"Savings")</f>
        <v>0</v>
      </c>
      <c r="M478">
        <f>M402+J478-K478-L478</f>
        <v>114565.32</v>
      </c>
    </row>
    <row r="479" spans="1:13" x14ac:dyDescent="0.2">
      <c r="A479" t="s">
        <v>156</v>
      </c>
      <c r="B479" t="s">
        <v>27</v>
      </c>
      <c r="C479" t="s">
        <v>29</v>
      </c>
      <c r="E479">
        <v>120000</v>
      </c>
      <c r="F479" t="s">
        <v>28</v>
      </c>
      <c r="J479">
        <f>SUMIFS(D418:D477,B418:B477,"Deposit",C418:C477,"Savings2")</f>
        <v>0</v>
      </c>
      <c r="L479">
        <f>SUMIFS(D418:D477,B418:B477,"Withdraw",C418:C477,"Savings2")</f>
        <v>0</v>
      </c>
      <c r="M479">
        <f>M403+J479-K479-L479</f>
        <v>120000</v>
      </c>
    </row>
    <row r="480" spans="1:13" x14ac:dyDescent="0.2">
      <c r="A480" t="s">
        <v>156</v>
      </c>
      <c r="B480" t="s">
        <v>27</v>
      </c>
      <c r="C480" t="s">
        <v>30</v>
      </c>
      <c r="E480">
        <v>120000</v>
      </c>
      <c r="F480" t="s">
        <v>28</v>
      </c>
      <c r="J480">
        <f>SUMIFS(D418:D477,B418:B477,"Deposit",C418:C477,"Brokerage")</f>
        <v>0</v>
      </c>
      <c r="L480">
        <f>SUMIFS(D418:D477,B418:B477,"Withdraw",C418:C477,"Brokerage")</f>
        <v>0</v>
      </c>
      <c r="M480">
        <f>M404+J480-K480-L480</f>
        <v>120000</v>
      </c>
    </row>
    <row r="481" spans="1:15" x14ac:dyDescent="0.2">
      <c r="A481" t="s">
        <v>156</v>
      </c>
      <c r="B481" t="s">
        <v>27</v>
      </c>
      <c r="C481" t="s">
        <v>31</v>
      </c>
      <c r="E481">
        <v>120000</v>
      </c>
      <c r="F481" t="s">
        <v>28</v>
      </c>
      <c r="J481">
        <f>SUMIFS(D418:D477,B418:B477,"Deposit",C418:C477,"Brokerage2")</f>
        <v>0</v>
      </c>
      <c r="L481">
        <f>SUMIFS(D418:D477,B418:B477,"Withdraw",C418:C477,"Brokerage2")</f>
        <v>0</v>
      </c>
      <c r="M481">
        <f>M405+J481-K481-L481</f>
        <v>120000</v>
      </c>
    </row>
    <row r="482" spans="1:15" x14ac:dyDescent="0.2">
      <c r="A482" t="s">
        <v>156</v>
      </c>
      <c r="B482" t="s">
        <v>27</v>
      </c>
      <c r="C482" t="s">
        <v>8</v>
      </c>
      <c r="E482">
        <v>0</v>
      </c>
      <c r="F482" t="s">
        <v>28</v>
      </c>
      <c r="J482">
        <f>SUMIFS(D418:D477,B418:B477,"Deposit",C418:C477,"IRA")</f>
        <v>0</v>
      </c>
      <c r="L482">
        <f>SUMIFS(D418:D477,B418:B477,"Withdraw",C418:C477,"IRA")</f>
        <v>0</v>
      </c>
      <c r="M482">
        <f>M406+J482-K482-L482</f>
        <v>0</v>
      </c>
    </row>
    <row r="483" spans="1:15" x14ac:dyDescent="0.2">
      <c r="A483" t="s">
        <v>156</v>
      </c>
      <c r="B483" t="s">
        <v>27</v>
      </c>
      <c r="C483" t="s">
        <v>32</v>
      </c>
      <c r="E483">
        <v>22188.68</v>
      </c>
      <c r="F483" t="s">
        <v>28</v>
      </c>
      <c r="J483">
        <f>SUMIFS(D418:D477,B418:B477,"Deposit",C418:C477,"IRA2")</f>
        <v>0</v>
      </c>
      <c r="L483">
        <f>SUMIFS(D418:D477,B418:B477,"Withdraw",C418:C477,"IRA2")</f>
        <v>25811.319999999996</v>
      </c>
      <c r="M483">
        <f>M407+J483-K483-L483</f>
        <v>22188.680000000004</v>
      </c>
    </row>
    <row r="484" spans="1:15" x14ac:dyDescent="0.2">
      <c r="A484" t="s">
        <v>156</v>
      </c>
      <c r="B484" t="s">
        <v>27</v>
      </c>
      <c r="C484" t="s">
        <v>11</v>
      </c>
      <c r="E484">
        <v>226000</v>
      </c>
      <c r="F484" t="s">
        <v>28</v>
      </c>
      <c r="J484">
        <f>SUMIFS(D418:D477,B418:B477,"Deposit",C418:C477,"Roth")</f>
        <v>24000</v>
      </c>
      <c r="L484">
        <f>SUMIFS(D418:D477,B418:B477,"Withdraw",C418:C477,"Roth")</f>
        <v>0</v>
      </c>
      <c r="M484">
        <f>M408+J484-K484-L484</f>
        <v>226000</v>
      </c>
    </row>
    <row r="485" spans="1:15" x14ac:dyDescent="0.2">
      <c r="A485" t="s">
        <v>156</v>
      </c>
      <c r="B485" t="s">
        <v>27</v>
      </c>
      <c r="C485" t="s">
        <v>33</v>
      </c>
      <c r="E485">
        <v>10000</v>
      </c>
      <c r="F485" t="s">
        <v>28</v>
      </c>
      <c r="J485">
        <f>SUMIFS(D418:D477,B418:B477,"Deposit",C418:C477,"Roth2")</f>
        <v>0</v>
      </c>
      <c r="L485">
        <f>SUMIFS(D418:D477,B418:B477,"Withdraw",C418:C477,"Roth2")</f>
        <v>0</v>
      </c>
      <c r="M485">
        <f>M409+J485-K485-L485</f>
        <v>10000</v>
      </c>
    </row>
    <row r="486" spans="1:15" x14ac:dyDescent="0.2">
      <c r="A486" t="s">
        <v>156</v>
      </c>
      <c r="B486" t="s">
        <v>34</v>
      </c>
      <c r="C486" t="s">
        <v>35</v>
      </c>
      <c r="E486">
        <v>0</v>
      </c>
      <c r="F486" t="s">
        <v>36</v>
      </c>
      <c r="J486">
        <f>SUMIFS(D418:D477,C418:C477,"Savings",B418:B477,"Deposit",F418:F477,"=*income*")</f>
        <v>0</v>
      </c>
      <c r="K486">
        <f>J486*6.2%</f>
        <v>0</v>
      </c>
    </row>
    <row r="487" spans="1:15" x14ac:dyDescent="0.2">
      <c r="A487" t="s">
        <v>156</v>
      </c>
      <c r="B487" t="s">
        <v>34</v>
      </c>
      <c r="C487" t="s">
        <v>37</v>
      </c>
      <c r="E487">
        <v>0</v>
      </c>
      <c r="F487" t="s">
        <v>38</v>
      </c>
      <c r="J487">
        <f>J486</f>
        <v>0</v>
      </c>
      <c r="K487">
        <f>J487*1.45%</f>
        <v>0</v>
      </c>
    </row>
    <row r="488" spans="1:15" x14ac:dyDescent="0.2">
      <c r="A488" t="s">
        <v>156</v>
      </c>
      <c r="B488" t="s">
        <v>34</v>
      </c>
      <c r="C488" t="s">
        <v>39</v>
      </c>
      <c r="E488">
        <v>0</v>
      </c>
      <c r="F488" t="s">
        <v>40</v>
      </c>
    </row>
    <row r="489" spans="1:15" x14ac:dyDescent="0.2">
      <c r="A489" t="s">
        <v>156</v>
      </c>
      <c r="B489" t="s">
        <v>34</v>
      </c>
      <c r="C489" t="s">
        <v>41</v>
      </c>
      <c r="E489">
        <v>0</v>
      </c>
      <c r="F489" t="s">
        <v>42</v>
      </c>
    </row>
    <row r="490" spans="1:15" x14ac:dyDescent="0.2">
      <c r="A490" t="s">
        <v>156</v>
      </c>
      <c r="B490" t="s">
        <v>34</v>
      </c>
      <c r="C490" t="s">
        <v>43</v>
      </c>
      <c r="E490">
        <v>25811.32</v>
      </c>
      <c r="F490" t="s">
        <v>44</v>
      </c>
      <c r="J490">
        <f>J486</f>
        <v>0</v>
      </c>
      <c r="K490">
        <v>0</v>
      </c>
      <c r="L490">
        <f>SUM(L480:L481)/2</f>
        <v>0</v>
      </c>
      <c r="M490">
        <f>SUM(L482:L483)</f>
        <v>25811.319999999996</v>
      </c>
      <c r="O490">
        <f>SUM(J490:N490)</f>
        <v>25811.319999999996</v>
      </c>
    </row>
    <row r="491" spans="1:15" x14ac:dyDescent="0.2">
      <c r="A491" t="s">
        <v>156</v>
      </c>
      <c r="B491" t="s">
        <v>34</v>
      </c>
      <c r="C491" t="s">
        <v>45</v>
      </c>
      <c r="E491">
        <v>966</v>
      </c>
      <c r="F491" t="s">
        <v>46</v>
      </c>
    </row>
    <row r="492" spans="1:15" x14ac:dyDescent="0.2">
      <c r="A492" t="s">
        <v>156</v>
      </c>
      <c r="B492" t="s">
        <v>34</v>
      </c>
      <c r="C492" t="s">
        <v>47</v>
      </c>
      <c r="E492">
        <v>0</v>
      </c>
      <c r="F492" t="s">
        <v>48</v>
      </c>
      <c r="J492" s="1" t="s">
        <v>183</v>
      </c>
      <c r="K492" s="1">
        <f>SUMIFS(D418:D477,B418:B477,"Withdraw",F418:F477,"=*ROTH conversion*")</f>
        <v>24000</v>
      </c>
      <c r="L492" s="1"/>
      <c r="M492" s="1" t="s">
        <v>184</v>
      </c>
      <c r="N492" s="1">
        <f>SUMIFS(D418:D477,B418:B477,"Withdraw",F418:F477,"=*RMD*")</f>
        <v>1811.3200000000004</v>
      </c>
    </row>
    <row r="493" spans="1:15" x14ac:dyDescent="0.2">
      <c r="A493" t="s">
        <v>156</v>
      </c>
      <c r="B493" t="s">
        <v>34</v>
      </c>
      <c r="C493" t="s">
        <v>49</v>
      </c>
      <c r="E493">
        <v>0</v>
      </c>
      <c r="F493" t="s">
        <v>50</v>
      </c>
    </row>
    <row r="494" spans="1:15" x14ac:dyDescent="0.2">
      <c r="A494" t="s">
        <v>157</v>
      </c>
      <c r="B494" t="s">
        <v>7</v>
      </c>
      <c r="C494" t="s">
        <v>32</v>
      </c>
      <c r="D494">
        <v>72.510000000000005</v>
      </c>
      <c r="E494">
        <v>22116.17</v>
      </c>
      <c r="F494" t="s">
        <v>143</v>
      </c>
    </row>
    <row r="495" spans="1:15" x14ac:dyDescent="0.2">
      <c r="A495" t="s">
        <v>157</v>
      </c>
      <c r="B495" t="s">
        <v>10</v>
      </c>
      <c r="C495" t="s">
        <v>13</v>
      </c>
      <c r="D495">
        <v>72.510000000000005</v>
      </c>
      <c r="E495">
        <v>114637.83</v>
      </c>
      <c r="F495" t="s">
        <v>144</v>
      </c>
    </row>
    <row r="496" spans="1:15" x14ac:dyDescent="0.2">
      <c r="A496" t="s">
        <v>157</v>
      </c>
      <c r="B496" t="s">
        <v>7</v>
      </c>
      <c r="C496" t="s">
        <v>32</v>
      </c>
      <c r="D496">
        <v>1773.44</v>
      </c>
      <c r="E496">
        <v>20342.73</v>
      </c>
      <c r="F496" t="s">
        <v>9</v>
      </c>
    </row>
    <row r="497" spans="1:6" x14ac:dyDescent="0.2">
      <c r="A497" t="s">
        <v>157</v>
      </c>
      <c r="B497" t="s">
        <v>10</v>
      </c>
      <c r="C497" t="s">
        <v>11</v>
      </c>
      <c r="D497">
        <v>1773.44</v>
      </c>
      <c r="E497">
        <v>227773.44</v>
      </c>
      <c r="F497" t="s">
        <v>9</v>
      </c>
    </row>
    <row r="498" spans="1:6" x14ac:dyDescent="0.2">
      <c r="A498" t="s">
        <v>157</v>
      </c>
      <c r="B498" t="s">
        <v>12</v>
      </c>
      <c r="C498" t="s">
        <v>13</v>
      </c>
      <c r="D498">
        <v>50</v>
      </c>
      <c r="E498">
        <v>114587.83</v>
      </c>
      <c r="F498" t="s">
        <v>14</v>
      </c>
    </row>
    <row r="499" spans="1:6" x14ac:dyDescent="0.2">
      <c r="A499" t="s">
        <v>158</v>
      </c>
      <c r="B499" t="s">
        <v>7</v>
      </c>
      <c r="C499" t="s">
        <v>32</v>
      </c>
      <c r="D499">
        <v>72.510000000000005</v>
      </c>
      <c r="E499">
        <v>20270.22</v>
      </c>
      <c r="F499" t="s">
        <v>143</v>
      </c>
    </row>
    <row r="500" spans="1:6" x14ac:dyDescent="0.2">
      <c r="A500" t="s">
        <v>158</v>
      </c>
      <c r="B500" t="s">
        <v>10</v>
      </c>
      <c r="C500" t="s">
        <v>13</v>
      </c>
      <c r="D500">
        <v>72.510000000000005</v>
      </c>
      <c r="E500">
        <v>114660.34</v>
      </c>
      <c r="F500" t="s">
        <v>144</v>
      </c>
    </row>
    <row r="501" spans="1:6" x14ac:dyDescent="0.2">
      <c r="A501" t="s">
        <v>158</v>
      </c>
      <c r="B501" t="s">
        <v>7</v>
      </c>
      <c r="C501" t="s">
        <v>32</v>
      </c>
      <c r="D501">
        <v>1773.44</v>
      </c>
      <c r="E501">
        <v>18496.78</v>
      </c>
      <c r="F501" t="s">
        <v>9</v>
      </c>
    </row>
    <row r="502" spans="1:6" x14ac:dyDescent="0.2">
      <c r="A502" t="s">
        <v>158</v>
      </c>
      <c r="B502" t="s">
        <v>10</v>
      </c>
      <c r="C502" t="s">
        <v>11</v>
      </c>
      <c r="D502">
        <v>1773.44</v>
      </c>
      <c r="E502">
        <v>229546.88</v>
      </c>
      <c r="F502" t="s">
        <v>9</v>
      </c>
    </row>
    <row r="503" spans="1:6" x14ac:dyDescent="0.2">
      <c r="A503" t="s">
        <v>158</v>
      </c>
      <c r="B503" t="s">
        <v>12</v>
      </c>
      <c r="C503" t="s">
        <v>13</v>
      </c>
      <c r="D503">
        <v>50</v>
      </c>
      <c r="E503">
        <v>114610.34</v>
      </c>
      <c r="F503" t="s">
        <v>14</v>
      </c>
    </row>
    <row r="504" spans="1:6" x14ac:dyDescent="0.2">
      <c r="A504" t="s">
        <v>159</v>
      </c>
      <c r="B504" t="s">
        <v>7</v>
      </c>
      <c r="C504" t="s">
        <v>32</v>
      </c>
      <c r="D504">
        <v>72.510000000000005</v>
      </c>
      <c r="E504">
        <v>18424.27</v>
      </c>
      <c r="F504" t="s">
        <v>143</v>
      </c>
    </row>
    <row r="505" spans="1:6" x14ac:dyDescent="0.2">
      <c r="A505" t="s">
        <v>159</v>
      </c>
      <c r="B505" t="s">
        <v>10</v>
      </c>
      <c r="C505" t="s">
        <v>13</v>
      </c>
      <c r="D505">
        <v>72.510000000000005</v>
      </c>
      <c r="E505">
        <v>114682.85</v>
      </c>
      <c r="F505" t="s">
        <v>144</v>
      </c>
    </row>
    <row r="506" spans="1:6" x14ac:dyDescent="0.2">
      <c r="A506" t="s">
        <v>159</v>
      </c>
      <c r="B506" t="s">
        <v>7</v>
      </c>
      <c r="C506" t="s">
        <v>32</v>
      </c>
      <c r="D506">
        <v>1773.44</v>
      </c>
      <c r="E506">
        <v>16650.830000000002</v>
      </c>
      <c r="F506" t="s">
        <v>9</v>
      </c>
    </row>
    <row r="507" spans="1:6" x14ac:dyDescent="0.2">
      <c r="A507" t="s">
        <v>159</v>
      </c>
      <c r="B507" t="s">
        <v>10</v>
      </c>
      <c r="C507" t="s">
        <v>11</v>
      </c>
      <c r="D507">
        <v>1773.44</v>
      </c>
      <c r="E507">
        <v>231320.32000000001</v>
      </c>
      <c r="F507" t="s">
        <v>9</v>
      </c>
    </row>
    <row r="508" spans="1:6" x14ac:dyDescent="0.2">
      <c r="A508" t="s">
        <v>159</v>
      </c>
      <c r="B508" t="s">
        <v>12</v>
      </c>
      <c r="C508" t="s">
        <v>13</v>
      </c>
      <c r="D508">
        <v>50</v>
      </c>
      <c r="E508">
        <v>114632.85</v>
      </c>
      <c r="F508" t="s">
        <v>14</v>
      </c>
    </row>
    <row r="509" spans="1:6" x14ac:dyDescent="0.2">
      <c r="A509" t="s">
        <v>160</v>
      </c>
      <c r="B509" t="s">
        <v>7</v>
      </c>
      <c r="C509" t="s">
        <v>32</v>
      </c>
      <c r="D509">
        <v>72.510000000000005</v>
      </c>
      <c r="E509">
        <v>16578.32</v>
      </c>
      <c r="F509" t="s">
        <v>143</v>
      </c>
    </row>
    <row r="510" spans="1:6" x14ac:dyDescent="0.2">
      <c r="A510" t="s">
        <v>160</v>
      </c>
      <c r="B510" t="s">
        <v>10</v>
      </c>
      <c r="C510" t="s">
        <v>13</v>
      </c>
      <c r="D510">
        <v>72.510000000000005</v>
      </c>
      <c r="E510">
        <v>114705.36</v>
      </c>
      <c r="F510" t="s">
        <v>144</v>
      </c>
    </row>
    <row r="511" spans="1:6" x14ac:dyDescent="0.2">
      <c r="A511" t="s">
        <v>160</v>
      </c>
      <c r="B511" t="s">
        <v>7</v>
      </c>
      <c r="C511" t="s">
        <v>32</v>
      </c>
      <c r="D511">
        <v>1773.44</v>
      </c>
      <c r="E511">
        <v>14804.88</v>
      </c>
      <c r="F511" t="s">
        <v>9</v>
      </c>
    </row>
    <row r="512" spans="1:6" x14ac:dyDescent="0.2">
      <c r="A512" t="s">
        <v>160</v>
      </c>
      <c r="B512" t="s">
        <v>10</v>
      </c>
      <c r="C512" t="s">
        <v>11</v>
      </c>
      <c r="D512">
        <v>1773.44</v>
      </c>
      <c r="E512">
        <v>233093.76000000001</v>
      </c>
      <c r="F512" t="s">
        <v>9</v>
      </c>
    </row>
    <row r="513" spans="1:6" x14ac:dyDescent="0.2">
      <c r="A513" t="s">
        <v>160</v>
      </c>
      <c r="B513" t="s">
        <v>12</v>
      </c>
      <c r="C513" t="s">
        <v>13</v>
      </c>
      <c r="D513">
        <v>50</v>
      </c>
      <c r="E513">
        <v>114655.36</v>
      </c>
      <c r="F513" t="s">
        <v>14</v>
      </c>
    </row>
    <row r="514" spans="1:6" x14ac:dyDescent="0.2">
      <c r="A514" t="s">
        <v>161</v>
      </c>
      <c r="B514" t="s">
        <v>7</v>
      </c>
      <c r="C514" t="s">
        <v>32</v>
      </c>
      <c r="D514">
        <v>72.510000000000005</v>
      </c>
      <c r="E514">
        <v>14732.37</v>
      </c>
      <c r="F514" t="s">
        <v>143</v>
      </c>
    </row>
    <row r="515" spans="1:6" x14ac:dyDescent="0.2">
      <c r="A515" t="s">
        <v>161</v>
      </c>
      <c r="B515" t="s">
        <v>10</v>
      </c>
      <c r="C515" t="s">
        <v>13</v>
      </c>
      <c r="D515">
        <v>72.510000000000005</v>
      </c>
      <c r="E515">
        <v>114727.87</v>
      </c>
      <c r="F515" t="s">
        <v>144</v>
      </c>
    </row>
    <row r="516" spans="1:6" x14ac:dyDescent="0.2">
      <c r="A516" t="s">
        <v>161</v>
      </c>
      <c r="B516" t="s">
        <v>7</v>
      </c>
      <c r="C516" t="s">
        <v>32</v>
      </c>
      <c r="D516">
        <v>1773.44</v>
      </c>
      <c r="E516">
        <v>12958.93</v>
      </c>
      <c r="F516" t="s">
        <v>9</v>
      </c>
    </row>
    <row r="517" spans="1:6" x14ac:dyDescent="0.2">
      <c r="A517" t="s">
        <v>161</v>
      </c>
      <c r="B517" t="s">
        <v>10</v>
      </c>
      <c r="C517" t="s">
        <v>11</v>
      </c>
      <c r="D517">
        <v>1773.44</v>
      </c>
      <c r="E517">
        <v>234867.20000000001</v>
      </c>
      <c r="F517" t="s">
        <v>9</v>
      </c>
    </row>
    <row r="518" spans="1:6" x14ac:dyDescent="0.2">
      <c r="A518" t="s">
        <v>161</v>
      </c>
      <c r="B518" t="s">
        <v>12</v>
      </c>
      <c r="C518" t="s">
        <v>13</v>
      </c>
      <c r="D518">
        <v>50</v>
      </c>
      <c r="E518">
        <v>114677.87</v>
      </c>
      <c r="F518" t="s">
        <v>14</v>
      </c>
    </row>
    <row r="519" spans="1:6" x14ac:dyDescent="0.2">
      <c r="A519" t="s">
        <v>162</v>
      </c>
      <c r="B519" t="s">
        <v>7</v>
      </c>
      <c r="C519" t="s">
        <v>32</v>
      </c>
      <c r="D519">
        <v>72.510000000000005</v>
      </c>
      <c r="E519">
        <v>12886.42</v>
      </c>
      <c r="F519" t="s">
        <v>143</v>
      </c>
    </row>
    <row r="520" spans="1:6" x14ac:dyDescent="0.2">
      <c r="A520" t="s">
        <v>162</v>
      </c>
      <c r="B520" t="s">
        <v>10</v>
      </c>
      <c r="C520" t="s">
        <v>13</v>
      </c>
      <c r="D520">
        <v>72.510000000000005</v>
      </c>
      <c r="E520">
        <v>114750.38</v>
      </c>
      <c r="F520" t="s">
        <v>144</v>
      </c>
    </row>
    <row r="521" spans="1:6" x14ac:dyDescent="0.2">
      <c r="A521" t="s">
        <v>162</v>
      </c>
      <c r="B521" t="s">
        <v>7</v>
      </c>
      <c r="C521" t="s">
        <v>32</v>
      </c>
      <c r="D521">
        <v>1773.44</v>
      </c>
      <c r="E521">
        <v>11112.98</v>
      </c>
      <c r="F521" t="s">
        <v>9</v>
      </c>
    </row>
    <row r="522" spans="1:6" x14ac:dyDescent="0.2">
      <c r="A522" t="s">
        <v>162</v>
      </c>
      <c r="B522" t="s">
        <v>10</v>
      </c>
      <c r="C522" t="s">
        <v>11</v>
      </c>
      <c r="D522">
        <v>1773.44</v>
      </c>
      <c r="E522">
        <v>236640.64000000001</v>
      </c>
      <c r="F522" t="s">
        <v>9</v>
      </c>
    </row>
    <row r="523" spans="1:6" x14ac:dyDescent="0.2">
      <c r="A523" t="s">
        <v>162</v>
      </c>
      <c r="B523" t="s">
        <v>12</v>
      </c>
      <c r="C523" t="s">
        <v>13</v>
      </c>
      <c r="D523">
        <v>50</v>
      </c>
      <c r="E523">
        <v>114700.38</v>
      </c>
      <c r="F523" t="s">
        <v>14</v>
      </c>
    </row>
    <row r="524" spans="1:6" x14ac:dyDescent="0.2">
      <c r="A524" t="s">
        <v>163</v>
      </c>
      <c r="B524" t="s">
        <v>7</v>
      </c>
      <c r="C524" t="s">
        <v>32</v>
      </c>
      <c r="D524">
        <v>72.510000000000005</v>
      </c>
      <c r="E524">
        <v>11040.47</v>
      </c>
      <c r="F524" t="s">
        <v>143</v>
      </c>
    </row>
    <row r="525" spans="1:6" x14ac:dyDescent="0.2">
      <c r="A525" t="s">
        <v>163</v>
      </c>
      <c r="B525" t="s">
        <v>10</v>
      </c>
      <c r="C525" t="s">
        <v>13</v>
      </c>
      <c r="D525">
        <v>72.510000000000005</v>
      </c>
      <c r="E525">
        <v>114772.89</v>
      </c>
      <c r="F525" t="s">
        <v>144</v>
      </c>
    </row>
    <row r="526" spans="1:6" x14ac:dyDescent="0.2">
      <c r="A526" t="s">
        <v>163</v>
      </c>
      <c r="B526" t="s">
        <v>7</v>
      </c>
      <c r="C526" t="s">
        <v>32</v>
      </c>
      <c r="D526">
        <v>1773.44</v>
      </c>
      <c r="E526">
        <v>9267.0300000000007</v>
      </c>
      <c r="F526" t="s">
        <v>9</v>
      </c>
    </row>
    <row r="527" spans="1:6" x14ac:dyDescent="0.2">
      <c r="A527" t="s">
        <v>163</v>
      </c>
      <c r="B527" t="s">
        <v>10</v>
      </c>
      <c r="C527" t="s">
        <v>11</v>
      </c>
      <c r="D527">
        <v>1773.44</v>
      </c>
      <c r="E527">
        <v>238414.07999999999</v>
      </c>
      <c r="F527" t="s">
        <v>9</v>
      </c>
    </row>
    <row r="528" spans="1:6" x14ac:dyDescent="0.2">
      <c r="A528" t="s">
        <v>163</v>
      </c>
      <c r="B528" t="s">
        <v>12</v>
      </c>
      <c r="C528" t="s">
        <v>13</v>
      </c>
      <c r="D528">
        <v>50</v>
      </c>
      <c r="E528">
        <v>114722.89</v>
      </c>
      <c r="F528" t="s">
        <v>14</v>
      </c>
    </row>
    <row r="529" spans="1:6" x14ac:dyDescent="0.2">
      <c r="A529" t="s">
        <v>164</v>
      </c>
      <c r="B529" t="s">
        <v>7</v>
      </c>
      <c r="C529" t="s">
        <v>32</v>
      </c>
      <c r="D529">
        <v>72.510000000000005</v>
      </c>
      <c r="E529">
        <v>9194.52</v>
      </c>
      <c r="F529" t="s">
        <v>143</v>
      </c>
    </row>
    <row r="530" spans="1:6" x14ac:dyDescent="0.2">
      <c r="A530" t="s">
        <v>164</v>
      </c>
      <c r="B530" t="s">
        <v>10</v>
      </c>
      <c r="C530" t="s">
        <v>13</v>
      </c>
      <c r="D530">
        <v>72.510000000000005</v>
      </c>
      <c r="E530">
        <v>114795.4</v>
      </c>
      <c r="F530" t="s">
        <v>144</v>
      </c>
    </row>
    <row r="531" spans="1:6" x14ac:dyDescent="0.2">
      <c r="A531" t="s">
        <v>164</v>
      </c>
      <c r="B531" t="s">
        <v>7</v>
      </c>
      <c r="C531" t="s">
        <v>32</v>
      </c>
      <c r="D531">
        <v>1773.44</v>
      </c>
      <c r="E531">
        <v>7421.08</v>
      </c>
      <c r="F531" t="s">
        <v>9</v>
      </c>
    </row>
    <row r="532" spans="1:6" x14ac:dyDescent="0.2">
      <c r="A532" t="s">
        <v>164</v>
      </c>
      <c r="B532" t="s">
        <v>10</v>
      </c>
      <c r="C532" t="s">
        <v>11</v>
      </c>
      <c r="D532">
        <v>1773.44</v>
      </c>
      <c r="E532">
        <v>240187.51999999999</v>
      </c>
      <c r="F532" t="s">
        <v>9</v>
      </c>
    </row>
    <row r="533" spans="1:6" x14ac:dyDescent="0.2">
      <c r="A533" t="s">
        <v>164</v>
      </c>
      <c r="B533" t="s">
        <v>12</v>
      </c>
      <c r="C533" t="s">
        <v>13</v>
      </c>
      <c r="D533">
        <v>50</v>
      </c>
      <c r="E533">
        <v>114745.4</v>
      </c>
      <c r="F533" t="s">
        <v>14</v>
      </c>
    </row>
    <row r="534" spans="1:6" x14ac:dyDescent="0.2">
      <c r="A534" t="s">
        <v>165</v>
      </c>
      <c r="B534" t="s">
        <v>7</v>
      </c>
      <c r="C534" t="s">
        <v>32</v>
      </c>
      <c r="D534">
        <v>72.510000000000005</v>
      </c>
      <c r="E534">
        <v>7348.57</v>
      </c>
      <c r="F534" t="s">
        <v>143</v>
      </c>
    </row>
    <row r="535" spans="1:6" x14ac:dyDescent="0.2">
      <c r="A535" t="s">
        <v>165</v>
      </c>
      <c r="B535" t="s">
        <v>10</v>
      </c>
      <c r="C535" t="s">
        <v>13</v>
      </c>
      <c r="D535">
        <v>72.510000000000005</v>
      </c>
      <c r="E535">
        <v>114817.91</v>
      </c>
      <c r="F535" t="s">
        <v>144</v>
      </c>
    </row>
    <row r="536" spans="1:6" x14ac:dyDescent="0.2">
      <c r="A536" t="s">
        <v>165</v>
      </c>
      <c r="B536" t="s">
        <v>7</v>
      </c>
      <c r="C536" t="s">
        <v>32</v>
      </c>
      <c r="D536">
        <v>1773.44</v>
      </c>
      <c r="E536">
        <v>5575.13</v>
      </c>
      <c r="F536" t="s">
        <v>9</v>
      </c>
    </row>
    <row r="537" spans="1:6" x14ac:dyDescent="0.2">
      <c r="A537" t="s">
        <v>165</v>
      </c>
      <c r="B537" t="s">
        <v>10</v>
      </c>
      <c r="C537" t="s">
        <v>11</v>
      </c>
      <c r="D537">
        <v>1773.44</v>
      </c>
      <c r="E537">
        <v>241960.95999999999</v>
      </c>
      <c r="F537" t="s">
        <v>9</v>
      </c>
    </row>
    <row r="538" spans="1:6" x14ac:dyDescent="0.2">
      <c r="A538" t="s">
        <v>165</v>
      </c>
      <c r="B538" t="s">
        <v>12</v>
      </c>
      <c r="C538" t="s">
        <v>13</v>
      </c>
      <c r="D538">
        <v>50</v>
      </c>
      <c r="E538">
        <v>114767.91</v>
      </c>
      <c r="F538" t="s">
        <v>14</v>
      </c>
    </row>
    <row r="539" spans="1:6" x14ac:dyDescent="0.2">
      <c r="A539" t="s">
        <v>166</v>
      </c>
      <c r="B539" t="s">
        <v>7</v>
      </c>
      <c r="C539" t="s">
        <v>32</v>
      </c>
      <c r="D539">
        <v>72.510000000000005</v>
      </c>
      <c r="E539">
        <v>5502.62</v>
      </c>
      <c r="F539" t="s">
        <v>143</v>
      </c>
    </row>
    <row r="540" spans="1:6" x14ac:dyDescent="0.2">
      <c r="A540" t="s">
        <v>166</v>
      </c>
      <c r="B540" t="s">
        <v>10</v>
      </c>
      <c r="C540" t="s">
        <v>13</v>
      </c>
      <c r="D540">
        <v>72.510000000000005</v>
      </c>
      <c r="E540">
        <v>114840.42</v>
      </c>
      <c r="F540" t="s">
        <v>144</v>
      </c>
    </row>
    <row r="541" spans="1:6" x14ac:dyDescent="0.2">
      <c r="A541" t="s">
        <v>166</v>
      </c>
      <c r="B541" t="s">
        <v>7</v>
      </c>
      <c r="C541" t="s">
        <v>32</v>
      </c>
      <c r="D541">
        <v>1773.44</v>
      </c>
      <c r="E541">
        <v>3729.18</v>
      </c>
      <c r="F541" t="s">
        <v>9</v>
      </c>
    </row>
    <row r="542" spans="1:6" x14ac:dyDescent="0.2">
      <c r="A542" t="s">
        <v>166</v>
      </c>
      <c r="B542" t="s">
        <v>10</v>
      </c>
      <c r="C542" t="s">
        <v>11</v>
      </c>
      <c r="D542">
        <v>1773.44</v>
      </c>
      <c r="E542">
        <v>243734.39999999999</v>
      </c>
      <c r="F542" t="s">
        <v>9</v>
      </c>
    </row>
    <row r="543" spans="1:6" x14ac:dyDescent="0.2">
      <c r="A543" t="s">
        <v>166</v>
      </c>
      <c r="B543" t="s">
        <v>12</v>
      </c>
      <c r="C543" t="s">
        <v>13</v>
      </c>
      <c r="D543">
        <v>50</v>
      </c>
      <c r="E543">
        <v>114790.42</v>
      </c>
      <c r="F543" t="s">
        <v>14</v>
      </c>
    </row>
    <row r="544" spans="1:6" x14ac:dyDescent="0.2">
      <c r="A544" t="s">
        <v>167</v>
      </c>
      <c r="B544" t="s">
        <v>7</v>
      </c>
      <c r="C544" t="s">
        <v>32</v>
      </c>
      <c r="D544">
        <v>72.510000000000005</v>
      </c>
      <c r="E544">
        <v>3656.67</v>
      </c>
      <c r="F544" t="s">
        <v>143</v>
      </c>
    </row>
    <row r="545" spans="1:13" x14ac:dyDescent="0.2">
      <c r="A545" t="s">
        <v>167</v>
      </c>
      <c r="B545" t="s">
        <v>10</v>
      </c>
      <c r="C545" t="s">
        <v>13</v>
      </c>
      <c r="D545">
        <v>72.510000000000005</v>
      </c>
      <c r="E545">
        <v>114862.93</v>
      </c>
      <c r="F545" t="s">
        <v>144</v>
      </c>
    </row>
    <row r="546" spans="1:13" x14ac:dyDescent="0.2">
      <c r="A546" t="s">
        <v>167</v>
      </c>
      <c r="B546" t="s">
        <v>7</v>
      </c>
      <c r="C546" t="s">
        <v>32</v>
      </c>
      <c r="D546">
        <v>1773.44</v>
      </c>
      <c r="E546">
        <v>1883.23</v>
      </c>
      <c r="F546" t="s">
        <v>9</v>
      </c>
    </row>
    <row r="547" spans="1:13" x14ac:dyDescent="0.2">
      <c r="A547" t="s">
        <v>167</v>
      </c>
      <c r="B547" t="s">
        <v>10</v>
      </c>
      <c r="C547" t="s">
        <v>11</v>
      </c>
      <c r="D547">
        <v>1773.44</v>
      </c>
      <c r="E547">
        <v>245507.84</v>
      </c>
      <c r="F547" t="s">
        <v>9</v>
      </c>
    </row>
    <row r="548" spans="1:13" x14ac:dyDescent="0.2">
      <c r="A548" t="s">
        <v>167</v>
      </c>
      <c r="B548" t="s">
        <v>12</v>
      </c>
      <c r="C548" t="s">
        <v>13</v>
      </c>
      <c r="D548">
        <v>50</v>
      </c>
      <c r="E548">
        <v>114812.93</v>
      </c>
      <c r="F548" t="s">
        <v>14</v>
      </c>
    </row>
    <row r="549" spans="1:13" x14ac:dyDescent="0.2">
      <c r="A549" t="s">
        <v>168</v>
      </c>
      <c r="B549" t="s">
        <v>7</v>
      </c>
      <c r="C549" t="s">
        <v>32</v>
      </c>
      <c r="D549">
        <v>72.53</v>
      </c>
      <c r="E549">
        <v>1810.7</v>
      </c>
      <c r="F549" t="s">
        <v>143</v>
      </c>
    </row>
    <row r="550" spans="1:13" x14ac:dyDescent="0.2">
      <c r="A550" t="s">
        <v>168</v>
      </c>
      <c r="B550" t="s">
        <v>10</v>
      </c>
      <c r="C550" t="s">
        <v>13</v>
      </c>
      <c r="D550">
        <v>72.53</v>
      </c>
      <c r="E550">
        <v>114885.46</v>
      </c>
      <c r="F550" t="s">
        <v>144</v>
      </c>
    </row>
    <row r="551" spans="1:13" x14ac:dyDescent="0.2">
      <c r="A551" t="s">
        <v>168</v>
      </c>
      <c r="B551" t="s">
        <v>7</v>
      </c>
      <c r="C551" t="s">
        <v>32</v>
      </c>
      <c r="D551">
        <v>1773.41</v>
      </c>
      <c r="E551">
        <v>37.29</v>
      </c>
      <c r="F551" t="s">
        <v>9</v>
      </c>
    </row>
    <row r="552" spans="1:13" x14ac:dyDescent="0.2">
      <c r="A552" t="s">
        <v>168</v>
      </c>
      <c r="B552" t="s">
        <v>10</v>
      </c>
      <c r="C552" t="s">
        <v>11</v>
      </c>
      <c r="D552">
        <v>1773.41</v>
      </c>
      <c r="E552">
        <v>247281.25</v>
      </c>
      <c r="F552" t="s">
        <v>9</v>
      </c>
    </row>
    <row r="553" spans="1:13" x14ac:dyDescent="0.2">
      <c r="A553" t="s">
        <v>168</v>
      </c>
      <c r="B553" t="s">
        <v>12</v>
      </c>
      <c r="C553" t="s">
        <v>13</v>
      </c>
      <c r="D553">
        <v>50</v>
      </c>
      <c r="E553">
        <v>114835.46</v>
      </c>
      <c r="F553" t="s">
        <v>14</v>
      </c>
    </row>
    <row r="554" spans="1:13" x14ac:dyDescent="0.2">
      <c r="A554" t="s">
        <v>169</v>
      </c>
      <c r="B554" t="s">
        <v>27</v>
      </c>
      <c r="C554" t="s">
        <v>13</v>
      </c>
      <c r="E554">
        <v>114835.46</v>
      </c>
      <c r="F554" t="s">
        <v>28</v>
      </c>
      <c r="J554">
        <f>SUMIFS(D494:D553,B494:B553,"Deposit",C494:C553,"Savings")</f>
        <v>870.14</v>
      </c>
      <c r="K554">
        <f>SUMIFS(D494:D553,B494:B553,"Payment",C494:C553,"Savings")</f>
        <v>600</v>
      </c>
      <c r="L554">
        <f>SUMIFS(D494:D553,B494:B553,"Withdraw",C494:C553,"Savings")</f>
        <v>0</v>
      </c>
      <c r="M554">
        <f>M478+J554-K554-L554</f>
        <v>114835.46</v>
      </c>
    </row>
    <row r="555" spans="1:13" x14ac:dyDescent="0.2">
      <c r="A555" t="s">
        <v>169</v>
      </c>
      <c r="B555" t="s">
        <v>27</v>
      </c>
      <c r="C555" t="s">
        <v>29</v>
      </c>
      <c r="E555">
        <v>120000</v>
      </c>
      <c r="F555" t="s">
        <v>28</v>
      </c>
      <c r="J555">
        <f>SUMIFS(D494:D553,B494:B553,"Deposit",C494:C553,"Savings2")</f>
        <v>0</v>
      </c>
      <c r="L555">
        <f>SUMIFS(D494:D553,B494:B553,"Withdraw",C494:C553,"Savings2")</f>
        <v>0</v>
      </c>
      <c r="M555">
        <f>M479+J555-K555-L555</f>
        <v>120000</v>
      </c>
    </row>
    <row r="556" spans="1:13" x14ac:dyDescent="0.2">
      <c r="A556" t="s">
        <v>169</v>
      </c>
      <c r="B556" t="s">
        <v>27</v>
      </c>
      <c r="C556" t="s">
        <v>30</v>
      </c>
      <c r="E556">
        <v>120000</v>
      </c>
      <c r="F556" t="s">
        <v>28</v>
      </c>
      <c r="J556">
        <f>SUMIFS(D494:D553,B494:B553,"Deposit",C494:C553,"Brokerage")</f>
        <v>0</v>
      </c>
      <c r="L556">
        <f>SUMIFS(D494:D553,B494:B553,"Withdraw",C494:C553,"Brokerage")</f>
        <v>0</v>
      </c>
      <c r="M556">
        <f>M480+J556-K556-L556</f>
        <v>120000</v>
      </c>
    </row>
    <row r="557" spans="1:13" x14ac:dyDescent="0.2">
      <c r="A557" t="s">
        <v>169</v>
      </c>
      <c r="B557" t="s">
        <v>27</v>
      </c>
      <c r="C557" t="s">
        <v>31</v>
      </c>
      <c r="E557">
        <v>120000</v>
      </c>
      <c r="F557" t="s">
        <v>28</v>
      </c>
      <c r="J557">
        <f>SUMIFS(D494:D553,B494:B553,"Deposit",C494:C553,"Brokerage2")</f>
        <v>0</v>
      </c>
      <c r="L557">
        <f>SUMIFS(D494:D553,B494:B553,"Withdraw",C494:C553,"Brokerage2")</f>
        <v>0</v>
      </c>
      <c r="M557">
        <f>M481+J557-K557-L557</f>
        <v>120000</v>
      </c>
    </row>
    <row r="558" spans="1:13" x14ac:dyDescent="0.2">
      <c r="A558" t="s">
        <v>169</v>
      </c>
      <c r="B558" t="s">
        <v>27</v>
      </c>
      <c r="C558" t="s">
        <v>8</v>
      </c>
      <c r="E558">
        <v>0</v>
      </c>
      <c r="F558" t="s">
        <v>28</v>
      </c>
      <c r="J558">
        <f>SUMIFS(D494:D553,B494:B553,"Deposit",C494:C553,"IRA")</f>
        <v>0</v>
      </c>
      <c r="L558">
        <f>SUMIFS(D494:D553,B494:B553,"Withdraw",C494:C553,"IRA")</f>
        <v>0</v>
      </c>
      <c r="M558">
        <f>M482+J558-K558-L558</f>
        <v>0</v>
      </c>
    </row>
    <row r="559" spans="1:13" x14ac:dyDescent="0.2">
      <c r="A559" t="s">
        <v>169</v>
      </c>
      <c r="B559" t="s">
        <v>27</v>
      </c>
      <c r="C559" t="s">
        <v>32</v>
      </c>
      <c r="E559">
        <v>37.29</v>
      </c>
      <c r="F559" t="s">
        <v>28</v>
      </c>
      <c r="J559">
        <f>SUMIFS(D494:D553,B494:B553,"Deposit",C494:C553,"IRA2")</f>
        <v>0</v>
      </c>
      <c r="L559">
        <f>SUMIFS(D494:D553,B494:B553,"Withdraw",C494:C553,"IRA2")</f>
        <v>22151.389999999996</v>
      </c>
      <c r="M559">
        <f>M483+J559-K559-L559</f>
        <v>37.290000000008149</v>
      </c>
    </row>
    <row r="560" spans="1:13" x14ac:dyDescent="0.2">
      <c r="A560" t="s">
        <v>169</v>
      </c>
      <c r="B560" t="s">
        <v>27</v>
      </c>
      <c r="C560" t="s">
        <v>11</v>
      </c>
      <c r="E560">
        <v>247281.25</v>
      </c>
      <c r="F560" t="s">
        <v>28</v>
      </c>
      <c r="J560">
        <f>SUMIFS(D494:D553,B494:B553,"Deposit",C494:C553,"Roth")</f>
        <v>21281.25</v>
      </c>
      <c r="L560">
        <f>SUMIFS(D494:D553,B494:B553,"Withdraw",C494:C553,"Roth")</f>
        <v>0</v>
      </c>
      <c r="M560">
        <f>M484+J560-K560-L560</f>
        <v>247281.25</v>
      </c>
    </row>
    <row r="561" spans="1:15" x14ac:dyDescent="0.2">
      <c r="A561" t="s">
        <v>169</v>
      </c>
      <c r="B561" t="s">
        <v>27</v>
      </c>
      <c r="C561" t="s">
        <v>33</v>
      </c>
      <c r="E561">
        <v>10000</v>
      </c>
      <c r="F561" t="s">
        <v>28</v>
      </c>
      <c r="J561">
        <f>SUMIFS(D494:D553,B494:B553,"Deposit",C494:C553,"Roth2")</f>
        <v>0</v>
      </c>
      <c r="L561">
        <f>SUMIFS(D494:D553,B494:B553,"Withdraw",C494:C553,"Roth2")</f>
        <v>0</v>
      </c>
      <c r="M561">
        <f>M485+J561-K561-L561</f>
        <v>10000</v>
      </c>
    </row>
    <row r="562" spans="1:15" x14ac:dyDescent="0.2">
      <c r="A562" t="s">
        <v>169</v>
      </c>
      <c r="B562" t="s">
        <v>34</v>
      </c>
      <c r="C562" t="s">
        <v>35</v>
      </c>
      <c r="E562">
        <v>0</v>
      </c>
      <c r="F562" t="s">
        <v>36</v>
      </c>
      <c r="J562">
        <f>SUMIFS(D494:D553,C494:C553,"Savings",B494:B553,"Deposit",F494:F553,"=*income*")</f>
        <v>0</v>
      </c>
      <c r="K562">
        <f>J562*6.2%</f>
        <v>0</v>
      </c>
    </row>
    <row r="563" spans="1:15" x14ac:dyDescent="0.2">
      <c r="A563" t="s">
        <v>169</v>
      </c>
      <c r="B563" t="s">
        <v>34</v>
      </c>
      <c r="C563" t="s">
        <v>37</v>
      </c>
      <c r="E563">
        <v>0</v>
      </c>
      <c r="F563" t="s">
        <v>38</v>
      </c>
      <c r="J563">
        <f>J562</f>
        <v>0</v>
      </c>
      <c r="K563">
        <f>J563*1.45%</f>
        <v>0</v>
      </c>
    </row>
    <row r="564" spans="1:15" x14ac:dyDescent="0.2">
      <c r="A564" t="s">
        <v>169</v>
      </c>
      <c r="B564" t="s">
        <v>34</v>
      </c>
      <c r="C564" t="s">
        <v>39</v>
      </c>
      <c r="E564">
        <v>0</v>
      </c>
      <c r="F564" t="s">
        <v>40</v>
      </c>
    </row>
    <row r="565" spans="1:15" x14ac:dyDescent="0.2">
      <c r="A565" t="s">
        <v>169</v>
      </c>
      <c r="B565" t="s">
        <v>34</v>
      </c>
      <c r="C565" t="s">
        <v>41</v>
      </c>
      <c r="E565">
        <v>0</v>
      </c>
      <c r="F565" t="s">
        <v>42</v>
      </c>
    </row>
    <row r="566" spans="1:15" x14ac:dyDescent="0.2">
      <c r="A566" t="s">
        <v>169</v>
      </c>
      <c r="B566" t="s">
        <v>34</v>
      </c>
      <c r="C566" t="s">
        <v>43</v>
      </c>
      <c r="E566">
        <v>22151.39</v>
      </c>
      <c r="F566" t="s">
        <v>44</v>
      </c>
      <c r="J566">
        <f>J562</f>
        <v>0</v>
      </c>
      <c r="K566">
        <v>0</v>
      </c>
      <c r="L566">
        <f>SUM(L556:L557)/2</f>
        <v>0</v>
      </c>
      <c r="M566">
        <f>SUM(L558:L559)</f>
        <v>22151.389999999996</v>
      </c>
      <c r="O566">
        <f>SUM(J566:N566)</f>
        <v>22151.389999999996</v>
      </c>
    </row>
    <row r="567" spans="1:15" x14ac:dyDescent="0.2">
      <c r="A567" t="s">
        <v>169</v>
      </c>
      <c r="B567" t="s">
        <v>34</v>
      </c>
      <c r="C567" t="s">
        <v>45</v>
      </c>
      <c r="E567">
        <v>600</v>
      </c>
      <c r="F567" t="s">
        <v>46</v>
      </c>
    </row>
    <row r="568" spans="1:15" x14ac:dyDescent="0.2">
      <c r="A568" t="s">
        <v>169</v>
      </c>
      <c r="B568" t="s">
        <v>34</v>
      </c>
      <c r="C568" t="s">
        <v>47</v>
      </c>
      <c r="E568">
        <v>0</v>
      </c>
      <c r="F568" t="s">
        <v>48</v>
      </c>
      <c r="J568" s="1" t="s">
        <v>183</v>
      </c>
      <c r="K568" s="1">
        <f>SUMIFS(D494:D553,B494:B553,"Withdraw",F494:F553,"=*ROTH conversion*")</f>
        <v>21281.25</v>
      </c>
      <c r="L568" s="1"/>
      <c r="M568" s="1" t="s">
        <v>184</v>
      </c>
      <c r="N568" s="1">
        <f>SUMIFS(D494:D553,B494:B553,"Withdraw",F494:F553,"=*RMD*")</f>
        <v>870.14</v>
      </c>
    </row>
    <row r="569" spans="1:15" x14ac:dyDescent="0.2">
      <c r="A569" t="s">
        <v>169</v>
      </c>
      <c r="B569" t="s">
        <v>34</v>
      </c>
      <c r="C569" t="s">
        <v>49</v>
      </c>
      <c r="E569">
        <v>0</v>
      </c>
      <c r="F569" t="s">
        <v>50</v>
      </c>
    </row>
    <row r="570" spans="1:15" x14ac:dyDescent="0.2">
      <c r="A570" t="s">
        <v>170</v>
      </c>
      <c r="B570" t="s">
        <v>7</v>
      </c>
      <c r="C570" t="s">
        <v>32</v>
      </c>
      <c r="D570">
        <v>0.13</v>
      </c>
      <c r="E570">
        <v>37.159999999999997</v>
      </c>
      <c r="F570" t="s">
        <v>143</v>
      </c>
    </row>
    <row r="571" spans="1:15" x14ac:dyDescent="0.2">
      <c r="A571" t="s">
        <v>170</v>
      </c>
      <c r="B571" t="s">
        <v>10</v>
      </c>
      <c r="C571" t="s">
        <v>13</v>
      </c>
      <c r="D571">
        <v>0.13</v>
      </c>
      <c r="E571">
        <v>114835.59</v>
      </c>
      <c r="F571" t="s">
        <v>144</v>
      </c>
    </row>
    <row r="572" spans="1:15" x14ac:dyDescent="0.2">
      <c r="A572" t="s">
        <v>171</v>
      </c>
      <c r="B572" t="s">
        <v>7</v>
      </c>
      <c r="C572" t="s">
        <v>32</v>
      </c>
      <c r="D572">
        <v>0.13</v>
      </c>
      <c r="E572">
        <v>37.03</v>
      </c>
      <c r="F572" t="s">
        <v>143</v>
      </c>
    </row>
    <row r="573" spans="1:15" x14ac:dyDescent="0.2">
      <c r="A573" t="s">
        <v>171</v>
      </c>
      <c r="B573" t="s">
        <v>10</v>
      </c>
      <c r="C573" t="s">
        <v>13</v>
      </c>
      <c r="D573">
        <v>0.13</v>
      </c>
      <c r="E573">
        <v>114835.72</v>
      </c>
      <c r="F573" t="s">
        <v>144</v>
      </c>
    </row>
    <row r="574" spans="1:15" x14ac:dyDescent="0.2">
      <c r="A574" t="s">
        <v>172</v>
      </c>
      <c r="B574" t="s">
        <v>7</v>
      </c>
      <c r="C574" t="s">
        <v>32</v>
      </c>
      <c r="D574">
        <v>0.13</v>
      </c>
      <c r="E574">
        <v>36.9</v>
      </c>
      <c r="F574" t="s">
        <v>143</v>
      </c>
    </row>
    <row r="575" spans="1:15" x14ac:dyDescent="0.2">
      <c r="A575" t="s">
        <v>172</v>
      </c>
      <c r="B575" t="s">
        <v>10</v>
      </c>
      <c r="C575" t="s">
        <v>13</v>
      </c>
      <c r="D575">
        <v>0.13</v>
      </c>
      <c r="E575">
        <v>114835.85</v>
      </c>
      <c r="F575" t="s">
        <v>144</v>
      </c>
    </row>
    <row r="576" spans="1:15" x14ac:dyDescent="0.2">
      <c r="A576" t="s">
        <v>173</v>
      </c>
      <c r="B576" t="s">
        <v>7</v>
      </c>
      <c r="C576" t="s">
        <v>32</v>
      </c>
      <c r="D576">
        <v>0.13</v>
      </c>
      <c r="E576">
        <v>36.770000000000003</v>
      </c>
      <c r="F576" t="s">
        <v>143</v>
      </c>
    </row>
    <row r="577" spans="1:6" x14ac:dyDescent="0.2">
      <c r="A577" t="s">
        <v>173</v>
      </c>
      <c r="B577" t="s">
        <v>10</v>
      </c>
      <c r="C577" t="s">
        <v>13</v>
      </c>
      <c r="D577">
        <v>0.13</v>
      </c>
      <c r="E577">
        <v>114835.98</v>
      </c>
      <c r="F577" t="s">
        <v>144</v>
      </c>
    </row>
    <row r="578" spans="1:6" x14ac:dyDescent="0.2">
      <c r="A578" t="s">
        <v>174</v>
      </c>
      <c r="B578" t="s">
        <v>7</v>
      </c>
      <c r="C578" t="s">
        <v>32</v>
      </c>
      <c r="D578">
        <v>0.13</v>
      </c>
      <c r="E578">
        <v>36.64</v>
      </c>
      <c r="F578" t="s">
        <v>143</v>
      </c>
    </row>
    <row r="579" spans="1:6" x14ac:dyDescent="0.2">
      <c r="A579" t="s">
        <v>174</v>
      </c>
      <c r="B579" t="s">
        <v>10</v>
      </c>
      <c r="C579" t="s">
        <v>13</v>
      </c>
      <c r="D579">
        <v>0.13</v>
      </c>
      <c r="E579">
        <v>114836.11</v>
      </c>
      <c r="F579" t="s">
        <v>144</v>
      </c>
    </row>
    <row r="580" spans="1:6" x14ac:dyDescent="0.2">
      <c r="A580" t="s">
        <v>175</v>
      </c>
      <c r="B580" t="s">
        <v>7</v>
      </c>
      <c r="C580" t="s">
        <v>32</v>
      </c>
      <c r="D580">
        <v>0.13</v>
      </c>
      <c r="E580">
        <v>36.51</v>
      </c>
      <c r="F580" t="s">
        <v>143</v>
      </c>
    </row>
    <row r="581" spans="1:6" x14ac:dyDescent="0.2">
      <c r="A581" t="s">
        <v>175</v>
      </c>
      <c r="B581" t="s">
        <v>10</v>
      </c>
      <c r="C581" t="s">
        <v>13</v>
      </c>
      <c r="D581">
        <v>0.13</v>
      </c>
      <c r="E581">
        <v>114836.24</v>
      </c>
      <c r="F581" t="s">
        <v>144</v>
      </c>
    </row>
    <row r="582" spans="1:6" x14ac:dyDescent="0.2">
      <c r="A582" t="s">
        <v>176</v>
      </c>
      <c r="B582" t="s">
        <v>7</v>
      </c>
      <c r="C582" t="s">
        <v>32</v>
      </c>
      <c r="D582">
        <v>0.13</v>
      </c>
      <c r="E582">
        <v>36.380000000000003</v>
      </c>
      <c r="F582" t="s">
        <v>143</v>
      </c>
    </row>
    <row r="583" spans="1:6" x14ac:dyDescent="0.2">
      <c r="A583" t="s">
        <v>176</v>
      </c>
      <c r="B583" t="s">
        <v>10</v>
      </c>
      <c r="C583" t="s">
        <v>13</v>
      </c>
      <c r="D583">
        <v>0.13</v>
      </c>
      <c r="E583">
        <v>114836.37</v>
      </c>
      <c r="F583" t="s">
        <v>144</v>
      </c>
    </row>
    <row r="584" spans="1:6" x14ac:dyDescent="0.2">
      <c r="A584" t="s">
        <v>177</v>
      </c>
      <c r="B584" t="s">
        <v>7</v>
      </c>
      <c r="C584" t="s">
        <v>32</v>
      </c>
      <c r="D584">
        <v>0.13</v>
      </c>
      <c r="E584">
        <v>36.25</v>
      </c>
      <c r="F584" t="s">
        <v>143</v>
      </c>
    </row>
    <row r="585" spans="1:6" x14ac:dyDescent="0.2">
      <c r="A585" t="s">
        <v>177</v>
      </c>
      <c r="B585" t="s">
        <v>10</v>
      </c>
      <c r="C585" t="s">
        <v>13</v>
      </c>
      <c r="D585">
        <v>0.13</v>
      </c>
      <c r="E585">
        <v>114836.5</v>
      </c>
      <c r="F585" t="s">
        <v>144</v>
      </c>
    </row>
    <row r="586" spans="1:6" x14ac:dyDescent="0.2">
      <c r="A586" t="s">
        <v>178</v>
      </c>
      <c r="B586" t="s">
        <v>7</v>
      </c>
      <c r="C586" t="s">
        <v>32</v>
      </c>
      <c r="D586">
        <v>0.13</v>
      </c>
      <c r="E586">
        <v>36.119999999999997</v>
      </c>
      <c r="F586" t="s">
        <v>143</v>
      </c>
    </row>
    <row r="587" spans="1:6" x14ac:dyDescent="0.2">
      <c r="A587" t="s">
        <v>178</v>
      </c>
      <c r="B587" t="s">
        <v>10</v>
      </c>
      <c r="C587" t="s">
        <v>13</v>
      </c>
      <c r="D587">
        <v>0.13</v>
      </c>
      <c r="E587">
        <v>114836.63</v>
      </c>
      <c r="F587" t="s">
        <v>144</v>
      </c>
    </row>
    <row r="588" spans="1:6" x14ac:dyDescent="0.2">
      <c r="A588" t="s">
        <v>179</v>
      </c>
      <c r="B588" t="s">
        <v>7</v>
      </c>
      <c r="C588" t="s">
        <v>32</v>
      </c>
      <c r="D588">
        <v>0.13</v>
      </c>
      <c r="E588">
        <v>35.99</v>
      </c>
      <c r="F588" t="s">
        <v>143</v>
      </c>
    </row>
    <row r="589" spans="1:6" x14ac:dyDescent="0.2">
      <c r="A589" t="s">
        <v>179</v>
      </c>
      <c r="B589" t="s">
        <v>10</v>
      </c>
      <c r="C589" t="s">
        <v>13</v>
      </c>
      <c r="D589">
        <v>0.13</v>
      </c>
      <c r="E589">
        <v>114836.76</v>
      </c>
      <c r="F589" t="s">
        <v>144</v>
      </c>
    </row>
    <row r="590" spans="1:6" x14ac:dyDescent="0.2">
      <c r="A590" t="s">
        <v>180</v>
      </c>
      <c r="B590" t="s">
        <v>7</v>
      </c>
      <c r="C590" t="s">
        <v>32</v>
      </c>
      <c r="D590">
        <v>0.13</v>
      </c>
      <c r="E590">
        <v>35.86</v>
      </c>
      <c r="F590" t="s">
        <v>143</v>
      </c>
    </row>
    <row r="591" spans="1:6" x14ac:dyDescent="0.2">
      <c r="A591" t="s">
        <v>180</v>
      </c>
      <c r="B591" t="s">
        <v>10</v>
      </c>
      <c r="C591" t="s">
        <v>13</v>
      </c>
      <c r="D591">
        <v>0.13</v>
      </c>
      <c r="E591">
        <v>114836.89</v>
      </c>
      <c r="F591" t="s">
        <v>144</v>
      </c>
    </row>
    <row r="592" spans="1:6" x14ac:dyDescent="0.2">
      <c r="A592" t="s">
        <v>181</v>
      </c>
      <c r="B592" t="s">
        <v>7</v>
      </c>
      <c r="C592" t="s">
        <v>32</v>
      </c>
      <c r="D592">
        <v>0.09</v>
      </c>
      <c r="E592">
        <v>35.770000000000003</v>
      </c>
      <c r="F592" t="s">
        <v>143</v>
      </c>
    </row>
    <row r="593" spans="1:15" x14ac:dyDescent="0.2">
      <c r="A593" t="s">
        <v>181</v>
      </c>
      <c r="B593" t="s">
        <v>10</v>
      </c>
      <c r="C593" t="s">
        <v>13</v>
      </c>
      <c r="D593">
        <v>0.09</v>
      </c>
      <c r="E593">
        <v>114836.98</v>
      </c>
      <c r="F593" t="s">
        <v>144</v>
      </c>
    </row>
    <row r="594" spans="1:15" x14ac:dyDescent="0.2">
      <c r="A594" t="s">
        <v>182</v>
      </c>
      <c r="B594" t="s">
        <v>27</v>
      </c>
      <c r="C594" t="s">
        <v>13</v>
      </c>
      <c r="E594">
        <v>114836.98</v>
      </c>
      <c r="F594" t="s">
        <v>28</v>
      </c>
      <c r="J594">
        <f>SUMIFS(D570:D593,B570:B593,"Deposit",C570:C593,"Savings")</f>
        <v>1.5199999999999998</v>
      </c>
      <c r="K594">
        <f>SUMIFS(D570:D593,B570:B593,"Payment",C570:C593,"Savings")</f>
        <v>0</v>
      </c>
      <c r="L594">
        <f>SUMIFS(D570:D593,B570:B593,"Withdraw",C570:C593,"Savings")</f>
        <v>0</v>
      </c>
      <c r="M594">
        <f>M554+J594-K594-L594</f>
        <v>114836.98000000001</v>
      </c>
    </row>
    <row r="595" spans="1:15" x14ac:dyDescent="0.2">
      <c r="A595" t="s">
        <v>182</v>
      </c>
      <c r="B595" t="s">
        <v>27</v>
      </c>
      <c r="C595" t="s">
        <v>29</v>
      </c>
      <c r="E595">
        <v>120000</v>
      </c>
      <c r="F595" t="s">
        <v>28</v>
      </c>
      <c r="J595">
        <f>SUMIFS(D570:D593,B570:B593,"Deposit",C570:C593,"Savings2")</f>
        <v>0</v>
      </c>
      <c r="L595">
        <f>SUMIFS(D570:D593,B570:B593,"Withdraw",C570:C593,"Savings2")</f>
        <v>0</v>
      </c>
      <c r="M595">
        <f>M555+J595-K595-L595</f>
        <v>120000</v>
      </c>
    </row>
    <row r="596" spans="1:15" x14ac:dyDescent="0.2">
      <c r="A596" t="s">
        <v>182</v>
      </c>
      <c r="B596" t="s">
        <v>27</v>
      </c>
      <c r="C596" t="s">
        <v>30</v>
      </c>
      <c r="E596">
        <v>120000</v>
      </c>
      <c r="F596" t="s">
        <v>28</v>
      </c>
      <c r="J596">
        <f>SUMIFS(D570:D593,B570:B593,"Deposit",C570:C593,"Brokerage")</f>
        <v>0</v>
      </c>
      <c r="L596">
        <f>SUMIFS(D570:D593,B570:B593,"Withdraw",C570:C593,"Brokerage")</f>
        <v>0</v>
      </c>
      <c r="M596">
        <f>M556+J596-K596-L596</f>
        <v>120000</v>
      </c>
    </row>
    <row r="597" spans="1:15" x14ac:dyDescent="0.2">
      <c r="A597" t="s">
        <v>182</v>
      </c>
      <c r="B597" t="s">
        <v>27</v>
      </c>
      <c r="C597" t="s">
        <v>31</v>
      </c>
      <c r="E597">
        <v>120000</v>
      </c>
      <c r="F597" t="s">
        <v>28</v>
      </c>
      <c r="J597">
        <f>SUMIFS(D570:D593,B570:B593,"Deposit",C570:C593,"Brokerage2")</f>
        <v>0</v>
      </c>
      <c r="L597">
        <f>SUMIFS(D570:D593,B570:B593,"Withdraw",C570:C593,"Brokerage2")</f>
        <v>0</v>
      </c>
      <c r="M597">
        <f>M557+J597-K597-L597</f>
        <v>120000</v>
      </c>
    </row>
    <row r="598" spans="1:15" x14ac:dyDescent="0.2">
      <c r="A598" t="s">
        <v>182</v>
      </c>
      <c r="B598" t="s">
        <v>27</v>
      </c>
      <c r="C598" t="s">
        <v>8</v>
      </c>
      <c r="E598">
        <v>0</v>
      </c>
      <c r="F598" t="s">
        <v>28</v>
      </c>
      <c r="J598">
        <f>SUMIFS(D570:D593,B570:B593,"Deposit",C570:C593,"IRA")</f>
        <v>0</v>
      </c>
      <c r="L598">
        <f>SUMIFS(D570:D593,B570:B593,"Withdraw",C570:C593,"IRA")</f>
        <v>0</v>
      </c>
      <c r="M598">
        <f>M558+J598-K598-L598</f>
        <v>0</v>
      </c>
    </row>
    <row r="599" spans="1:15" x14ac:dyDescent="0.2">
      <c r="A599" t="s">
        <v>182</v>
      </c>
      <c r="B599" t="s">
        <v>27</v>
      </c>
      <c r="C599" t="s">
        <v>32</v>
      </c>
      <c r="E599">
        <v>35.770000000000003</v>
      </c>
      <c r="F599" t="s">
        <v>28</v>
      </c>
      <c r="J599">
        <f>SUMIFS(D570:D593,B570:B593,"Deposit",C570:C593,"IRA2")</f>
        <v>0</v>
      </c>
      <c r="L599">
        <f>SUMIFS(D570:D593,B570:B593,"Withdraw",C570:C593,"IRA2")</f>
        <v>1.5199999999999998</v>
      </c>
      <c r="M599">
        <f>M559+J599-K599-L599</f>
        <v>35.770000000008146</v>
      </c>
    </row>
    <row r="600" spans="1:15" x14ac:dyDescent="0.2">
      <c r="A600" t="s">
        <v>182</v>
      </c>
      <c r="B600" t="s">
        <v>27</v>
      </c>
      <c r="C600" t="s">
        <v>11</v>
      </c>
      <c r="E600">
        <v>247281.25</v>
      </c>
      <c r="F600" t="s">
        <v>28</v>
      </c>
      <c r="J600">
        <f>SUMIFS(D570:D593,B570:B593,"Deposit",C570:C593,"Roth")</f>
        <v>0</v>
      </c>
      <c r="L600">
        <f>SUMIFS(D570:D593,B570:B593,"Withdraw",C570:C593,"Roth")</f>
        <v>0</v>
      </c>
      <c r="M600">
        <f>M560+J600-K600-L600</f>
        <v>247281.25</v>
      </c>
    </row>
    <row r="601" spans="1:15" x14ac:dyDescent="0.2">
      <c r="A601" t="s">
        <v>182</v>
      </c>
      <c r="B601" t="s">
        <v>27</v>
      </c>
      <c r="C601" t="s">
        <v>33</v>
      </c>
      <c r="E601">
        <v>10000</v>
      </c>
      <c r="F601" t="s">
        <v>28</v>
      </c>
      <c r="J601">
        <f>SUMIFS(D570:D593,B570:B593,"Deposit",C570:C593,"Roth2")</f>
        <v>0</v>
      </c>
      <c r="L601">
        <f>SUMIFS(D570:D593,B570:B593,"Withdraw",C570:C593,"Roth2")</f>
        <v>0</v>
      </c>
      <c r="M601">
        <f>M561+J601-K601-L601</f>
        <v>10000</v>
      </c>
    </row>
    <row r="602" spans="1:15" x14ac:dyDescent="0.2">
      <c r="A602" t="s">
        <v>182</v>
      </c>
      <c r="B602" t="s">
        <v>34</v>
      </c>
      <c r="C602" t="s">
        <v>35</v>
      </c>
      <c r="E602">
        <v>0</v>
      </c>
      <c r="F602" t="s">
        <v>36</v>
      </c>
      <c r="J602">
        <f>SUMIFS(D570:D593,C570:C593,"Savings",B570:B593,"Deposit",F570:F593,"=*income*")</f>
        <v>0</v>
      </c>
      <c r="K602">
        <f>J602*6.2%</f>
        <v>0</v>
      </c>
    </row>
    <row r="603" spans="1:15" x14ac:dyDescent="0.2">
      <c r="A603" t="s">
        <v>182</v>
      </c>
      <c r="B603" t="s">
        <v>34</v>
      </c>
      <c r="C603" t="s">
        <v>37</v>
      </c>
      <c r="E603">
        <v>0</v>
      </c>
      <c r="F603" t="s">
        <v>38</v>
      </c>
      <c r="J603">
        <f>J602</f>
        <v>0</v>
      </c>
      <c r="K603">
        <f>J603*1.45%</f>
        <v>0</v>
      </c>
    </row>
    <row r="604" spans="1:15" x14ac:dyDescent="0.2">
      <c r="A604" t="s">
        <v>182</v>
      </c>
      <c r="B604" t="s">
        <v>34</v>
      </c>
      <c r="C604" t="s">
        <v>39</v>
      </c>
      <c r="E604">
        <v>0</v>
      </c>
      <c r="F604" t="s">
        <v>40</v>
      </c>
    </row>
    <row r="605" spans="1:15" x14ac:dyDescent="0.2">
      <c r="A605" t="s">
        <v>182</v>
      </c>
      <c r="B605" t="s">
        <v>34</v>
      </c>
      <c r="C605" t="s">
        <v>41</v>
      </c>
      <c r="E605">
        <v>0</v>
      </c>
      <c r="F605" t="s">
        <v>42</v>
      </c>
    </row>
    <row r="606" spans="1:15" x14ac:dyDescent="0.2">
      <c r="A606" t="s">
        <v>182</v>
      </c>
      <c r="B606" t="s">
        <v>34</v>
      </c>
      <c r="C606" t="s">
        <v>43</v>
      </c>
      <c r="E606">
        <v>1.52</v>
      </c>
      <c r="F606" t="s">
        <v>44</v>
      </c>
      <c r="J606">
        <f>J602</f>
        <v>0</v>
      </c>
      <c r="K606">
        <v>0</v>
      </c>
      <c r="L606">
        <f>SUM(L596:L597)/2</f>
        <v>0</v>
      </c>
      <c r="M606">
        <f>SUM(L598:L599)</f>
        <v>1.5199999999999998</v>
      </c>
      <c r="O606">
        <f>SUM(J606:N606)</f>
        <v>1.5199999999999998</v>
      </c>
    </row>
    <row r="607" spans="1:15" x14ac:dyDescent="0.2">
      <c r="A607" t="s">
        <v>182</v>
      </c>
      <c r="B607" t="s">
        <v>34</v>
      </c>
      <c r="C607" t="s">
        <v>45</v>
      </c>
      <c r="E607">
        <v>0</v>
      </c>
      <c r="F607" t="s">
        <v>46</v>
      </c>
    </row>
    <row r="608" spans="1:15" x14ac:dyDescent="0.2">
      <c r="A608" t="s">
        <v>182</v>
      </c>
      <c r="B608" t="s">
        <v>34</v>
      </c>
      <c r="C608" t="s">
        <v>47</v>
      </c>
      <c r="E608">
        <v>0</v>
      </c>
      <c r="F608" t="s">
        <v>48</v>
      </c>
      <c r="J608" s="1" t="s">
        <v>183</v>
      </c>
      <c r="K608" s="1">
        <f>SUMIFS(D570:D593,B570:B593,"Withdraw",F570:F593,"=*ROTH conversion*")</f>
        <v>0</v>
      </c>
      <c r="L608" s="1"/>
      <c r="M608" s="1" t="s">
        <v>184</v>
      </c>
      <c r="N608" s="1">
        <f>SUMIFS(D570:D593,B570:B593,"Withdraw",F570:F593,"=*RMD*")</f>
        <v>1.5199999999999998</v>
      </c>
    </row>
    <row r="609" spans="1:6" x14ac:dyDescent="0.2">
      <c r="A609" t="s">
        <v>182</v>
      </c>
      <c r="B609" t="s">
        <v>34</v>
      </c>
      <c r="C609" t="s">
        <v>49</v>
      </c>
      <c r="E609">
        <v>0</v>
      </c>
      <c r="F609" t="s">
        <v>50</v>
      </c>
    </row>
  </sheetData>
  <conditionalFormatting sqref="M38:M45">
    <cfRule type="expression" dxfId="23" priority="22">
      <formula>$E38&lt;&gt;$M38</formula>
    </cfRule>
  </conditionalFormatting>
  <conditionalFormatting sqref="O50">
    <cfRule type="expression" dxfId="22" priority="21">
      <formula>$E50&lt;&gt;$O50</formula>
    </cfRule>
  </conditionalFormatting>
  <conditionalFormatting sqref="M90:M97">
    <cfRule type="expression" dxfId="19" priority="20">
      <formula>$E90&lt;&gt;$M90</formula>
    </cfRule>
  </conditionalFormatting>
  <conditionalFormatting sqref="O102">
    <cfRule type="expression" dxfId="18" priority="19">
      <formula>$E102&lt;&gt;$O102</formula>
    </cfRule>
  </conditionalFormatting>
  <conditionalFormatting sqref="M142:M149">
    <cfRule type="expression" dxfId="17" priority="18">
      <formula>$E142&lt;&gt;$M142</formula>
    </cfRule>
  </conditionalFormatting>
  <conditionalFormatting sqref="O154">
    <cfRule type="expression" dxfId="16" priority="17">
      <formula>$E154&lt;&gt;$O154</formula>
    </cfRule>
  </conditionalFormatting>
  <conditionalFormatting sqref="M194:M201">
    <cfRule type="expression" dxfId="15" priority="16">
      <formula>$E194&lt;&gt;$M194</formula>
    </cfRule>
  </conditionalFormatting>
  <conditionalFormatting sqref="O206">
    <cfRule type="expression" dxfId="14" priority="15">
      <formula>$E206&lt;&gt;$O206</formula>
    </cfRule>
  </conditionalFormatting>
  <conditionalFormatting sqref="M246:M253">
    <cfRule type="expression" dxfId="13" priority="14">
      <formula>$E246&lt;&gt;$M246</formula>
    </cfRule>
  </conditionalFormatting>
  <conditionalFormatting sqref="O258">
    <cfRule type="expression" dxfId="12" priority="13">
      <formula>$E258&lt;&gt;$O258</formula>
    </cfRule>
  </conditionalFormatting>
  <conditionalFormatting sqref="M298:M305">
    <cfRule type="expression" dxfId="11" priority="12">
      <formula>$E298&lt;&gt;$M298</formula>
    </cfRule>
  </conditionalFormatting>
  <conditionalFormatting sqref="O310">
    <cfRule type="expression" dxfId="10" priority="11">
      <formula>$E310&lt;&gt;$O310</formula>
    </cfRule>
  </conditionalFormatting>
  <conditionalFormatting sqref="M350:M357">
    <cfRule type="expression" dxfId="9" priority="10">
      <formula>$E350&lt;&gt;$M350</formula>
    </cfRule>
  </conditionalFormatting>
  <conditionalFormatting sqref="O362">
    <cfRule type="expression" dxfId="8" priority="9">
      <formula>$E362&lt;&gt;$O362</formula>
    </cfRule>
  </conditionalFormatting>
  <conditionalFormatting sqref="M402:M409">
    <cfRule type="expression" dxfId="7" priority="8">
      <formula>$E402&lt;&gt;$M402</formula>
    </cfRule>
  </conditionalFormatting>
  <conditionalFormatting sqref="O414">
    <cfRule type="expression" dxfId="6" priority="7">
      <formula>$E414&lt;&gt;$O414</formula>
    </cfRule>
  </conditionalFormatting>
  <conditionalFormatting sqref="M478:M485">
    <cfRule type="expression" dxfId="5" priority="6">
      <formula>$E478&lt;&gt;$M478</formula>
    </cfRule>
  </conditionalFormatting>
  <conditionalFormatting sqref="O490">
    <cfRule type="expression" dxfId="4" priority="5">
      <formula>$E490&lt;&gt;$O490</formula>
    </cfRule>
  </conditionalFormatting>
  <conditionalFormatting sqref="M554:M561">
    <cfRule type="expression" dxfId="3" priority="4">
      <formula>$E554&lt;&gt;$M554</formula>
    </cfRule>
  </conditionalFormatting>
  <conditionalFormatting sqref="O566">
    <cfRule type="expression" dxfId="2" priority="3">
      <formula>$E566&lt;&gt;$O566</formula>
    </cfRule>
  </conditionalFormatting>
  <conditionalFormatting sqref="M594:M601">
    <cfRule type="expression" dxfId="1" priority="2">
      <formula>$E594&lt;&gt;$M594</formula>
    </cfRule>
  </conditionalFormatting>
  <conditionalFormatting sqref="O606">
    <cfRule type="expression" dxfId="0" priority="1">
      <formula>$E606&lt;&gt;$O606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SingleMultipleAccountsFixedConv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2025-04-26T16:19:16Z</dcterms:created>
  <dcterms:modified xsi:type="dcterms:W3CDTF">2025-04-26T16:43:09Z</dcterms:modified>
</cp:coreProperties>
</file>