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neo/Library/CloudStorage/Dropbox/works/2024 Uganda Artemisinin Resistance Response/manuscript/All Supplement Files/"/>
    </mc:Choice>
  </mc:AlternateContent>
  <xr:revisionPtr revIDLastSave="0" documentId="13_ncr:1_{4C8935C4-0959-E148-8069-8003D31567CC}" xr6:coauthVersionLast="47" xr6:coauthVersionMax="47" xr10:uidLastSave="{00000000-0000-0000-0000-000000000000}"/>
  <bookViews>
    <workbookView xWindow="200" yWindow="960" windowWidth="29000" windowHeight="17940" activeTab="3" xr2:uid="{00000000-000D-0000-FFFF-FFFF00000000}"/>
  </bookViews>
  <sheets>
    <sheet name="Table S2 - PfPR Data" sheetId="9" r:id="rId1"/>
    <sheet name="Table S3 - Mutations" sheetId="1" r:id="rId2"/>
    <sheet name="Table S4 - Population" sheetId="2" r:id="rId3"/>
    <sheet name="Table S5 - Mortality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K53" i="1"/>
  <c r="G53" i="1"/>
  <c r="K52" i="1"/>
  <c r="G52" i="1"/>
  <c r="K51" i="1"/>
  <c r="G51" i="1"/>
  <c r="K50" i="1"/>
  <c r="G50" i="1"/>
  <c r="K49" i="1"/>
  <c r="G49" i="1"/>
  <c r="K48" i="1"/>
  <c r="G48" i="1"/>
  <c r="K47" i="1"/>
  <c r="G47" i="1"/>
  <c r="K46" i="1"/>
  <c r="G46" i="1"/>
  <c r="K44" i="1"/>
  <c r="G44" i="1"/>
  <c r="K42" i="1"/>
  <c r="G42" i="1"/>
  <c r="K40" i="1"/>
  <c r="G40" i="1"/>
  <c r="K36" i="1"/>
  <c r="G36" i="1"/>
  <c r="K35" i="1"/>
  <c r="G35" i="1"/>
  <c r="K34" i="1"/>
  <c r="G34" i="1"/>
  <c r="K33" i="1"/>
  <c r="G33" i="1"/>
  <c r="K32" i="1"/>
  <c r="G32" i="1"/>
  <c r="K30" i="1"/>
  <c r="G30" i="1"/>
  <c r="K28" i="1"/>
  <c r="G28" i="1"/>
  <c r="K58" i="1"/>
  <c r="K55" i="1"/>
  <c r="K31" i="1"/>
  <c r="K29" i="1"/>
  <c r="K39" i="1"/>
  <c r="K38" i="1"/>
  <c r="K37" i="1"/>
  <c r="K27" i="1"/>
  <c r="K26" i="1"/>
  <c r="K25" i="1"/>
  <c r="K24" i="1"/>
  <c r="K23" i="1"/>
  <c r="K22" i="1"/>
  <c r="K45" i="1"/>
  <c r="K43" i="1"/>
  <c r="K41" i="1"/>
  <c r="K21" i="1"/>
  <c r="K20" i="1"/>
  <c r="K19" i="1"/>
  <c r="K18" i="1"/>
  <c r="K16" i="1"/>
  <c r="K15" i="1"/>
  <c r="K14" i="1"/>
  <c r="K12" i="1"/>
  <c r="K11" i="1"/>
  <c r="K10" i="1"/>
  <c r="K9" i="1"/>
  <c r="K8" i="1"/>
  <c r="K7" i="1"/>
  <c r="K6" i="1"/>
  <c r="K5" i="1"/>
  <c r="K4" i="1"/>
  <c r="K3" i="1"/>
  <c r="G55" i="1"/>
  <c r="G31" i="1"/>
  <c r="G29" i="1"/>
  <c r="G39" i="1"/>
  <c r="G37" i="1"/>
  <c r="G27" i="1"/>
  <c r="G26" i="1"/>
  <c r="G25" i="1"/>
  <c r="G24" i="1"/>
  <c r="G23" i="1"/>
  <c r="G22" i="1"/>
  <c r="G45" i="1"/>
  <c r="G43" i="1"/>
  <c r="G41" i="1"/>
  <c r="G21" i="1"/>
  <c r="G20" i="1"/>
  <c r="G19" i="1"/>
  <c r="G18" i="1"/>
  <c r="G16" i="1"/>
  <c r="G14" i="1"/>
  <c r="G13" i="1"/>
  <c r="G12" i="1"/>
  <c r="G11" i="1"/>
  <c r="G10" i="1"/>
  <c r="G9" i="1"/>
  <c r="G8" i="1"/>
  <c r="G7" i="1"/>
  <c r="G6" i="1"/>
  <c r="G5" i="1"/>
  <c r="G4" i="1"/>
  <c r="G3" i="1"/>
  <c r="I63" i="1"/>
  <c r="E63" i="1"/>
  <c r="J63" i="1"/>
  <c r="F63" i="1"/>
  <c r="F16" i="9"/>
  <c r="H16" i="9" s="1"/>
  <c r="F15" i="9"/>
  <c r="H15" i="9" s="1"/>
  <c r="F14" i="9"/>
  <c r="H14" i="9" s="1"/>
  <c r="F13" i="9"/>
  <c r="H13" i="9" s="1"/>
  <c r="F12" i="9"/>
  <c r="H12" i="9" s="1"/>
  <c r="F11" i="9"/>
  <c r="H11" i="9" s="1"/>
  <c r="F10" i="9"/>
  <c r="H10" i="9" s="1"/>
  <c r="F9" i="9"/>
  <c r="H9" i="9" s="1"/>
  <c r="F8" i="9"/>
  <c r="H8" i="9" s="1"/>
  <c r="F7" i="9"/>
  <c r="H7" i="9" s="1"/>
  <c r="F6" i="9"/>
  <c r="H6" i="9" s="1"/>
  <c r="F5" i="9"/>
  <c r="H5" i="9" s="1"/>
  <c r="F4" i="9"/>
  <c r="H4" i="9" s="1"/>
  <c r="F3" i="9"/>
  <c r="H3" i="9" s="1"/>
  <c r="F2" i="9"/>
  <c r="H2" i="9" s="1"/>
  <c r="M13" i="7"/>
  <c r="M14" i="7"/>
  <c r="M15" i="7"/>
  <c r="M16" i="7"/>
  <c r="M18" i="7"/>
  <c r="M17" i="7"/>
  <c r="M7" i="7"/>
  <c r="M12" i="7"/>
  <c r="M11" i="7"/>
  <c r="M10" i="7"/>
  <c r="M9" i="7"/>
  <c r="M8" i="7"/>
  <c r="M3" i="7"/>
  <c r="B44" i="7" l="1"/>
  <c r="L18" i="7" s="1"/>
  <c r="E20" i="7"/>
  <c r="B43" i="7"/>
  <c r="E16" i="7"/>
  <c r="B42" i="7"/>
  <c r="L16" i="7" s="1"/>
  <c r="B41" i="7"/>
  <c r="L15" i="7" s="1"/>
  <c r="B40" i="7"/>
  <c r="L14" i="7" s="1"/>
  <c r="C39" i="7"/>
  <c r="B39" i="7" s="1"/>
  <c r="L13" i="7" s="1"/>
  <c r="B38" i="7"/>
  <c r="L12" i="7" s="1"/>
  <c r="C37" i="7"/>
  <c r="B37" i="7" s="1"/>
  <c r="L11" i="7" s="1"/>
  <c r="C36" i="7"/>
  <c r="B36" i="7" s="1"/>
  <c r="L10" i="7" s="1"/>
  <c r="C35" i="7"/>
  <c r="B35" i="7" s="1"/>
  <c r="L9" i="7" s="1"/>
  <c r="C34" i="7"/>
  <c r="B34" i="7" s="1"/>
  <c r="L8" i="7" s="1"/>
  <c r="B33" i="7"/>
  <c r="L7" i="7" s="1"/>
  <c r="B32" i="7"/>
  <c r="L6" i="7" s="1"/>
  <c r="M6" i="7" s="1"/>
  <c r="B31" i="7"/>
  <c r="B30" i="7"/>
  <c r="L4" i="7" s="1"/>
  <c r="M4" i="7" s="1"/>
  <c r="L5" i="7"/>
  <c r="M5" i="7" s="1"/>
  <c r="L3" i="7"/>
  <c r="L17" i="7" l="1"/>
  <c r="O3" i="7"/>
  <c r="P3" i="7" s="1"/>
  <c r="H16" i="2" l="1"/>
  <c r="H10" i="2"/>
  <c r="H8" i="2"/>
  <c r="E20" i="2"/>
  <c r="E19" i="2"/>
  <c r="E18" i="2"/>
  <c r="E17" i="2"/>
  <c r="E16" i="2"/>
  <c r="H22" i="2" s="1"/>
  <c r="E15" i="2"/>
  <c r="E14" i="2"/>
  <c r="H21" i="2" s="1"/>
  <c r="E13" i="2"/>
  <c r="E12" i="2"/>
  <c r="H20" i="2" s="1"/>
  <c r="E11" i="2"/>
  <c r="E10" i="2"/>
  <c r="H19" i="2" s="1"/>
  <c r="E9" i="2"/>
  <c r="E8" i="2"/>
  <c r="H18" i="2" s="1"/>
  <c r="E7" i="2"/>
  <c r="H17" i="2" s="1"/>
  <c r="E6" i="2"/>
  <c r="E5" i="2"/>
  <c r="H15" i="2" s="1"/>
  <c r="E4" i="2"/>
  <c r="H7" i="2" s="1"/>
  <c r="E3" i="2"/>
  <c r="E21" i="2" s="1"/>
  <c r="D21" i="2"/>
  <c r="C21" i="2"/>
  <c r="B21" i="2"/>
  <c r="H9" i="2" l="1"/>
  <c r="H11" i="2"/>
  <c r="H12" i="2"/>
  <c r="H13" i="2"/>
  <c r="H14" i="2"/>
  <c r="H6" i="2"/>
  <c r="H4" i="2"/>
  <c r="H23" i="2" s="1"/>
  <c r="H5" i="2"/>
  <c r="H3" i="2"/>
</calcChain>
</file>

<file path=xl/sharedStrings.xml><?xml version="1.0" encoding="utf-8"?>
<sst xmlns="http://schemas.openxmlformats.org/spreadsheetml/2006/main" count="294" uniqueCount="135">
  <si>
    <r>
      <t>A</t>
    </r>
    <r>
      <rPr>
        <b/>
        <sz val="11"/>
        <color theme="1"/>
        <rFont val="Calibri"/>
        <family val="2"/>
        <scheme val="minor"/>
      </rPr>
      <t>675V</t>
    </r>
  </si>
  <si>
    <r>
      <t>C</t>
    </r>
    <r>
      <rPr>
        <b/>
        <sz val="11"/>
        <color theme="1"/>
        <rFont val="Calibri"/>
        <family val="2"/>
        <scheme val="minor"/>
      </rPr>
      <t>469Y</t>
    </r>
  </si>
  <si>
    <t>Year</t>
  </si>
  <si>
    <t>District</t>
  </si>
  <si>
    <t>Count</t>
  </si>
  <si>
    <t>Samples</t>
  </si>
  <si>
    <t>Source</t>
  </si>
  <si>
    <t>Notes</t>
  </si>
  <si>
    <t>Frequency</t>
  </si>
  <si>
    <t>79 wild type samples</t>
  </si>
  <si>
    <t>Balikagala et al. 2021</t>
  </si>
  <si>
    <t>Gulu</t>
  </si>
  <si>
    <t>Sub Region</t>
  </si>
  <si>
    <t>Acholi</t>
  </si>
  <si>
    <t>Region</t>
  </si>
  <si>
    <t>Northern</t>
  </si>
  <si>
    <t>49 wild type samples</t>
  </si>
  <si>
    <t>74 wild type samples</t>
  </si>
  <si>
    <t>Asua et al. 2021</t>
  </si>
  <si>
    <t>Agago</t>
  </si>
  <si>
    <t>Arua</t>
  </si>
  <si>
    <t>Kaabong</t>
  </si>
  <si>
    <t>Kabale</t>
  </si>
  <si>
    <t>Katakwi</t>
  </si>
  <si>
    <t>Kole</t>
  </si>
  <si>
    <t>Lamwo</t>
  </si>
  <si>
    <t>MIP Sequencing, One 561H isolated in Jinja near Rwanda border</t>
  </si>
  <si>
    <t>West Nile</t>
  </si>
  <si>
    <t>Karamoja</t>
  </si>
  <si>
    <t>Kigezi</t>
  </si>
  <si>
    <t>Western</t>
  </si>
  <si>
    <t>Teso</t>
  </si>
  <si>
    <t>Eastern</t>
  </si>
  <si>
    <t>Lango</t>
  </si>
  <si>
    <t>Asua et al. 2019</t>
  </si>
  <si>
    <t>MIS 2019, p. 17</t>
  </si>
  <si>
    <t>&lt; 5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</si>
  <si>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</si>
  <si>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</si>
  <si>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</si>
  <si>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</si>
  <si>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</si>
  <si>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</si>
  <si>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</si>
  <si>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</si>
  <si>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</si>
  <si>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</si>
  <si>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</si>
  <si>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</si>
  <si>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</si>
  <si>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</si>
  <si>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</si>
  <si>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80+</t>
  </si>
  <si>
    <t>nd</t>
  </si>
  <si>
    <t>Total</t>
  </si>
  <si>
    <t>Male</t>
  </si>
  <si>
    <t>Female</t>
  </si>
  <si>
    <t>Normalized</t>
  </si>
  <si>
    <t>YAML</t>
  </si>
  <si>
    <t>Band</t>
  </si>
  <si>
    <t>Value</t>
  </si>
  <si>
    <t>Checksum</t>
  </si>
  <si>
    <t>Age</t>
  </si>
  <si>
    <t>&lt; 15</t>
  </si>
  <si>
    <t>15 - 24</t>
  </si>
  <si>
    <t>25 - 34</t>
  </si>
  <si>
    <t>35 - 44</t>
  </si>
  <si>
    <t>45 - 59</t>
  </si>
  <si>
    <t>60+</t>
  </si>
  <si>
    <t>Survivorship</t>
  </si>
  <si>
    <t>Annual Mortality Rate</t>
  </si>
  <si>
    <t>Yearly Adj.</t>
  </si>
  <si>
    <t>Reference Data</t>
  </si>
  <si>
    <t>Mortality Rates</t>
  </si>
  <si>
    <t>Age Distribution</t>
  </si>
  <si>
    <t>Life Expectancy</t>
  </si>
  <si>
    <t>Mortality Rate</t>
  </si>
  <si>
    <t>Class Label</t>
  </si>
  <si>
    <t>Range</t>
  </si>
  <si>
    <t>Calculation Age</t>
  </si>
  <si>
    <t>Adjustment Range</t>
  </si>
  <si>
    <t>All-cause Mortality</t>
  </si>
  <si>
    <t>Non-Malaria Mortailty</t>
  </si>
  <si>
    <t>Malaria Attrib.</t>
  </si>
  <si>
    <t>&lt; 1</t>
  </si>
  <si>
    <t>0 - 1</t>
  </si>
  <si>
    <t>0 to 4</t>
  </si>
  <si>
    <t>5 to 14</t>
  </si>
  <si>
    <t>12 - 15</t>
  </si>
  <si>
    <t>15 to 29</t>
  </si>
  <si>
    <t>16 - 20</t>
  </si>
  <si>
    <t>21 - 60</t>
  </si>
  <si>
    <t>61 - 100</t>
  </si>
  <si>
    <t>60 to 69</t>
  </si>
  <si>
    <t>100+</t>
  </si>
  <si>
    <t>70+</t>
  </si>
  <si>
    <t>UN WPP 2019</t>
  </si>
  <si>
    <t>UN 2019, p. 15</t>
  </si>
  <si>
    <t>Rounding</t>
  </si>
  <si>
    <t>Mortality Calculations</t>
  </si>
  <si>
    <t>Mortality Adjustments</t>
  </si>
  <si>
    <t>Rate</t>
  </si>
  <si>
    <t>(UN 2019)</t>
  </si>
  <si>
    <t>Calculated using (UN 2019)</t>
  </si>
  <si>
    <t>Derived using (UN WPP and UN WM, 2019)</t>
  </si>
  <si>
    <t>OBJECTID</t>
  </si>
  <si>
    <t>Ankole</t>
  </si>
  <si>
    <t>Bugisu</t>
  </si>
  <si>
    <t>Bukedi</t>
  </si>
  <si>
    <t>Bunyoro</t>
  </si>
  <si>
    <t>Busoga</t>
  </si>
  <si>
    <t>South Buganda</t>
  </si>
  <si>
    <t>North Buganda</t>
  </si>
  <si>
    <t>Kampala</t>
  </si>
  <si>
    <t>Tooro</t>
  </si>
  <si>
    <t>Parasites</t>
  </si>
  <si>
    <t>Timepoints</t>
  </si>
  <si>
    <t>Tumwebaze et al. 2022</t>
  </si>
  <si>
    <t>Tororo</t>
  </si>
  <si>
    <t>Mbale</t>
  </si>
  <si>
    <t>Mean PfPR (MAP 2020)</t>
  </si>
  <si>
    <t>DHS District</t>
  </si>
  <si>
    <t>Conrad et al.</t>
  </si>
  <si>
    <t>Amolatar</t>
  </si>
  <si>
    <t>Hoima</t>
  </si>
  <si>
    <t>Kapchorwa</t>
  </si>
  <si>
    <t>Koboko</t>
  </si>
  <si>
    <t>Mubende</t>
  </si>
  <si>
    <t>Rukiga</t>
  </si>
  <si>
    <t>96 patients enrolled, 85 RSA results obtained</t>
  </si>
  <si>
    <t>Ikeda et al. 2018</t>
  </si>
  <si>
    <t>Bordering districts, comigned samples excluded from anlaysis</t>
  </si>
  <si>
    <t>Half Life (pct)</t>
  </si>
  <si>
    <t>MIS District PfPR (MIS 2018-19)</t>
  </si>
  <si>
    <t>Scalar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</si>
</sst>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5" fillId="0" borderId="0"/>
    <xf numFmtId="0" fontId="6" fillId="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2" fontId="5" fillId="0" borderId="0" xfId="2" applyNumberFormat="1" applyAlignment="1">
      <alignment horizontal="right" wrapText="1"/>
    </xf>
    <xf numFmtId="0" fontId="3" fillId="0" borderId="0" xfId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vertical="center"/>
    </xf>
    <xf numFmtId="165" fontId="0" fillId="0" borderId="0" xfId="0" applyNumberFormat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6" fillId="2" borderId="0" xfId="3"/>
    <xf numFmtId="0" fontId="6" fillId="2" borderId="0" xfId="3" applyBorder="1" applyAlignment="1">
      <alignment vertical="center"/>
    </xf>
    <xf numFmtId="0" fontId="6" fillId="2" borderId="0" xfId="3" applyBorder="1" applyAlignment="1">
      <alignment horizontal="left" vertical="center"/>
    </xf>
    <xf numFmtId="165" fontId="6" fillId="2" borderId="0" xfId="3" applyNumberFormat="1"/>
    <xf numFmtId="0" fontId="6" fillId="2" borderId="0" xfId="3" applyAlignment="1">
      <alignment horizontal="center" vertical="center"/>
    </xf>
    <xf numFmtId="0" fontId="6" fillId="2" borderId="0" xfId="3" applyAlignment="1">
      <alignment horizontal="left" vertical="center"/>
    </xf>
    <xf numFmtId="0" fontId="6" fillId="2" borderId="0" xfId="3" applyAlignment="1">
      <alignment vertical="center"/>
    </xf>
    <xf numFmtId="0" fontId="3" fillId="0" borderId="0" xfId="1" applyAlignment="1">
      <alignment horizontal="center"/>
    </xf>
    <xf numFmtId="0" fontId="4" fillId="3" borderId="0" xfId="1" applyFont="1" applyFill="1"/>
    <xf numFmtId="0" fontId="3" fillId="3" borderId="0" xfId="1" applyFill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top"/>
    </xf>
  </cellXfs>
  <cellStyles count="4">
    <cellStyle name="Bad" xfId="3" builtinId="27"/>
    <cellStyle name="Normal" xfId="0" builtinId="0"/>
    <cellStyle name="Normal 2" xfId="1" xr:uid="{7AC6BF4B-14EA-4F5A-BDA5-D565F16F542C}"/>
    <cellStyle name="Normal 3" xfId="2" xr:uid="{F5B61F0A-8DC8-4C5D-8D63-03FDFABA43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E10BE-E61F-42D0-AC47-78B449AE06F0}">
  <dimension ref="B1:H16"/>
  <sheetViews>
    <sheetView workbookViewId="0">
      <selection activeCell="F2" sqref="F2"/>
    </sheetView>
  </sheetViews>
  <sheetFormatPr baseColWidth="10" defaultColWidth="8.83203125" defaultRowHeight="15" x14ac:dyDescent="0.2"/>
  <cols>
    <col min="1" max="1" width="2.6640625" customWidth="1"/>
    <col min="2" max="3" width="15.6640625" customWidth="1"/>
    <col min="4" max="4" width="22.83203125" customWidth="1"/>
    <col min="5" max="5" width="30.33203125" customWidth="1"/>
    <col min="6" max="6" width="15.6640625" customWidth="1"/>
    <col min="8" max="8" width="9.6640625" bestFit="1" customWidth="1"/>
  </cols>
  <sheetData>
    <row r="1" spans="2:8" x14ac:dyDescent="0.2">
      <c r="B1" s="12" t="s">
        <v>105</v>
      </c>
      <c r="C1" s="12" t="s">
        <v>121</v>
      </c>
      <c r="D1" s="12" t="s">
        <v>120</v>
      </c>
      <c r="E1" s="12" t="s">
        <v>133</v>
      </c>
      <c r="F1" s="11" t="s">
        <v>134</v>
      </c>
      <c r="H1" s="12" t="s">
        <v>61</v>
      </c>
    </row>
    <row r="2" spans="2:8" x14ac:dyDescent="0.2">
      <c r="B2">
        <v>1</v>
      </c>
      <c r="C2" t="s">
        <v>13</v>
      </c>
      <c r="D2">
        <v>0.42730000000000001</v>
      </c>
      <c r="E2">
        <v>0.12</v>
      </c>
      <c r="F2">
        <f>ROUND(E2/D2,3)</f>
        <v>0.28100000000000003</v>
      </c>
      <c r="H2">
        <f>ROUND(D2*F2,3)</f>
        <v>0.12</v>
      </c>
    </row>
    <row r="3" spans="2:8" x14ac:dyDescent="0.2">
      <c r="B3">
        <v>2</v>
      </c>
      <c r="C3" t="s">
        <v>106</v>
      </c>
      <c r="D3">
        <v>0.13350000000000001</v>
      </c>
      <c r="E3">
        <v>0.03</v>
      </c>
      <c r="F3">
        <f t="shared" ref="F3:F16" si="0">ROUND(E3/D3,3)</f>
        <v>0.22500000000000001</v>
      </c>
      <c r="H3">
        <f t="shared" ref="H3:H16" si="1">ROUND(D3*F3,3)</f>
        <v>0.03</v>
      </c>
    </row>
    <row r="4" spans="2:8" x14ac:dyDescent="0.2">
      <c r="B4">
        <v>3</v>
      </c>
      <c r="C4" t="s">
        <v>107</v>
      </c>
      <c r="D4">
        <v>0.10059999999999999</v>
      </c>
      <c r="E4">
        <v>0.05</v>
      </c>
      <c r="F4">
        <f t="shared" si="0"/>
        <v>0.497</v>
      </c>
      <c r="H4">
        <f t="shared" si="1"/>
        <v>0.05</v>
      </c>
    </row>
    <row r="5" spans="2:8" x14ac:dyDescent="0.2">
      <c r="B5">
        <v>4</v>
      </c>
      <c r="C5" t="s">
        <v>108</v>
      </c>
      <c r="D5">
        <v>0.1226</v>
      </c>
      <c r="E5">
        <v>0.03</v>
      </c>
      <c r="F5">
        <f t="shared" si="0"/>
        <v>0.245</v>
      </c>
      <c r="H5">
        <f t="shared" si="1"/>
        <v>0.03</v>
      </c>
    </row>
    <row r="6" spans="2:8" x14ac:dyDescent="0.2">
      <c r="B6">
        <v>5</v>
      </c>
      <c r="C6" t="s">
        <v>109</v>
      </c>
      <c r="D6">
        <v>0.15090000000000001</v>
      </c>
      <c r="E6">
        <v>0.09</v>
      </c>
      <c r="F6">
        <f t="shared" si="0"/>
        <v>0.59599999999999997</v>
      </c>
      <c r="H6">
        <f t="shared" si="1"/>
        <v>0.09</v>
      </c>
    </row>
    <row r="7" spans="2:8" x14ac:dyDescent="0.2">
      <c r="B7">
        <v>6</v>
      </c>
      <c r="C7" t="s">
        <v>110</v>
      </c>
      <c r="D7">
        <v>0.24979999999999999</v>
      </c>
      <c r="E7">
        <v>0.21</v>
      </c>
      <c r="F7">
        <f t="shared" si="0"/>
        <v>0.84099999999999997</v>
      </c>
      <c r="H7">
        <f t="shared" si="1"/>
        <v>0.21</v>
      </c>
    </row>
    <row r="8" spans="2:8" x14ac:dyDescent="0.2">
      <c r="B8">
        <v>7</v>
      </c>
      <c r="C8" t="s">
        <v>111</v>
      </c>
      <c r="D8">
        <v>8.1000000000000003E-2</v>
      </c>
      <c r="E8">
        <v>0.01</v>
      </c>
      <c r="F8">
        <f t="shared" si="0"/>
        <v>0.123</v>
      </c>
      <c r="H8">
        <f t="shared" si="1"/>
        <v>0.01</v>
      </c>
    </row>
    <row r="9" spans="2:8" x14ac:dyDescent="0.2">
      <c r="B9">
        <v>8</v>
      </c>
      <c r="C9" t="s">
        <v>112</v>
      </c>
      <c r="D9">
        <v>0.14219999999999999</v>
      </c>
      <c r="E9">
        <v>0.09</v>
      </c>
      <c r="F9">
        <f t="shared" si="0"/>
        <v>0.63300000000000001</v>
      </c>
      <c r="H9">
        <f t="shared" si="1"/>
        <v>0.09</v>
      </c>
    </row>
    <row r="10" spans="2:8" x14ac:dyDescent="0.2">
      <c r="B10">
        <v>9</v>
      </c>
      <c r="C10" t="s">
        <v>113</v>
      </c>
      <c r="D10">
        <v>7.4499999999999997E-2</v>
      </c>
      <c r="E10">
        <v>5.0000000000000001E-3</v>
      </c>
      <c r="F10">
        <f t="shared" si="0"/>
        <v>6.7000000000000004E-2</v>
      </c>
      <c r="H10">
        <f t="shared" si="1"/>
        <v>5.0000000000000001E-3</v>
      </c>
    </row>
    <row r="11" spans="2:8" x14ac:dyDescent="0.2">
      <c r="B11">
        <v>10</v>
      </c>
      <c r="C11" t="s">
        <v>28</v>
      </c>
      <c r="D11">
        <v>0.45319999999999999</v>
      </c>
      <c r="E11">
        <v>0.34</v>
      </c>
      <c r="F11">
        <f t="shared" si="0"/>
        <v>0.75</v>
      </c>
      <c r="H11">
        <f t="shared" si="1"/>
        <v>0.34</v>
      </c>
    </row>
    <row r="12" spans="2:8" x14ac:dyDescent="0.2">
      <c r="B12">
        <v>11</v>
      </c>
      <c r="C12" t="s">
        <v>29</v>
      </c>
      <c r="D12">
        <v>5.7500000000000002E-2</v>
      </c>
      <c r="E12">
        <v>5.0000000000000001E-3</v>
      </c>
      <c r="F12">
        <f t="shared" si="0"/>
        <v>8.6999999999999994E-2</v>
      </c>
      <c r="H12">
        <f t="shared" si="1"/>
        <v>5.0000000000000001E-3</v>
      </c>
    </row>
    <row r="13" spans="2:8" x14ac:dyDescent="0.2">
      <c r="B13">
        <v>12</v>
      </c>
      <c r="C13" t="s">
        <v>33</v>
      </c>
      <c r="D13">
        <v>0.40629999999999999</v>
      </c>
      <c r="E13">
        <v>0.13</v>
      </c>
      <c r="F13">
        <f t="shared" si="0"/>
        <v>0.32</v>
      </c>
      <c r="H13">
        <f t="shared" si="1"/>
        <v>0.13</v>
      </c>
    </row>
    <row r="14" spans="2:8" x14ac:dyDescent="0.2">
      <c r="B14">
        <v>13</v>
      </c>
      <c r="C14" t="s">
        <v>31</v>
      </c>
      <c r="D14">
        <v>0.2223</v>
      </c>
      <c r="E14">
        <v>0.08</v>
      </c>
      <c r="F14">
        <f t="shared" si="0"/>
        <v>0.36</v>
      </c>
      <c r="H14">
        <f t="shared" si="1"/>
        <v>0.08</v>
      </c>
    </row>
    <row r="15" spans="2:8" x14ac:dyDescent="0.2">
      <c r="B15">
        <v>14</v>
      </c>
      <c r="C15" t="s">
        <v>114</v>
      </c>
      <c r="D15">
        <v>0.1115</v>
      </c>
      <c r="E15">
        <v>0.05</v>
      </c>
      <c r="F15">
        <f t="shared" si="0"/>
        <v>0.44800000000000001</v>
      </c>
      <c r="H15">
        <f t="shared" si="1"/>
        <v>0.05</v>
      </c>
    </row>
    <row r="16" spans="2:8" x14ac:dyDescent="0.2">
      <c r="B16">
        <v>15</v>
      </c>
      <c r="C16" t="s">
        <v>27</v>
      </c>
      <c r="D16">
        <v>0.42959999999999998</v>
      </c>
      <c r="E16">
        <v>0.22</v>
      </c>
      <c r="F16">
        <f t="shared" si="0"/>
        <v>0.51200000000000001</v>
      </c>
      <c r="H16">
        <f t="shared" si="1"/>
        <v>0.22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workbookViewId="0">
      <pane ySplit="2" topLeftCell="A3" activePane="bottomLeft" state="frozen"/>
      <selection pane="bottomLeft" activeCell="H75" sqref="H75"/>
    </sheetView>
  </sheetViews>
  <sheetFormatPr baseColWidth="10" defaultColWidth="8.83203125" defaultRowHeight="15" x14ac:dyDescent="0.2"/>
  <cols>
    <col min="1" max="1" width="9.33203125" customWidth="1"/>
    <col min="2" max="2" width="10.1640625" bestFit="1" customWidth="1"/>
    <col min="3" max="4" width="9.33203125" hidden="1" customWidth="1"/>
    <col min="5" max="7" width="9.33203125" customWidth="1"/>
    <col min="8" max="8" width="11.83203125" bestFit="1" customWidth="1"/>
    <col min="9" max="11" width="9.33203125" customWidth="1"/>
    <col min="12" max="12" width="11.83203125" bestFit="1" customWidth="1"/>
    <col min="13" max="13" width="20" bestFit="1" customWidth="1"/>
    <col min="14" max="14" width="53.5" bestFit="1" customWidth="1"/>
  </cols>
  <sheetData>
    <row r="1" spans="1:14" x14ac:dyDescent="0.2">
      <c r="A1" s="32"/>
      <c r="B1" s="32"/>
      <c r="C1" s="32"/>
      <c r="D1" s="1"/>
      <c r="E1" s="32" t="s">
        <v>1</v>
      </c>
      <c r="F1" s="32"/>
      <c r="G1" s="32"/>
      <c r="H1" s="32"/>
      <c r="I1" s="32" t="s">
        <v>0</v>
      </c>
      <c r="J1" s="32"/>
      <c r="K1" s="32"/>
      <c r="L1" s="32"/>
      <c r="M1" s="32"/>
      <c r="N1" s="32"/>
    </row>
    <row r="2" spans="1:14" x14ac:dyDescent="0.2">
      <c r="A2" s="2" t="s">
        <v>2</v>
      </c>
      <c r="B2" s="2" t="s">
        <v>3</v>
      </c>
      <c r="C2" s="3" t="s">
        <v>12</v>
      </c>
      <c r="D2" s="3" t="s">
        <v>14</v>
      </c>
      <c r="E2" s="4" t="s">
        <v>4</v>
      </c>
      <c r="F2" s="4" t="s">
        <v>5</v>
      </c>
      <c r="G2" s="4" t="s">
        <v>8</v>
      </c>
      <c r="H2" s="4" t="s">
        <v>132</v>
      </c>
      <c r="I2" s="4" t="s">
        <v>4</v>
      </c>
      <c r="J2" s="4" t="s">
        <v>5</v>
      </c>
      <c r="K2" s="4" t="s">
        <v>8</v>
      </c>
      <c r="L2" s="4" t="s">
        <v>132</v>
      </c>
      <c r="M2" s="2" t="s">
        <v>6</v>
      </c>
      <c r="N2" s="2" t="s">
        <v>7</v>
      </c>
    </row>
    <row r="3" spans="1:14" x14ac:dyDescent="0.2">
      <c r="A3">
        <v>2017</v>
      </c>
      <c r="B3" s="19" t="s">
        <v>19</v>
      </c>
      <c r="C3" s="21" t="s">
        <v>13</v>
      </c>
      <c r="D3" s="21" t="s">
        <v>15</v>
      </c>
      <c r="E3">
        <v>1</v>
      </c>
      <c r="F3">
        <v>42</v>
      </c>
      <c r="G3" s="9">
        <f>ROUND(E3/F3, 3)</f>
        <v>2.4E-2</v>
      </c>
      <c r="H3" s="9"/>
      <c r="I3">
        <v>1</v>
      </c>
      <c r="J3">
        <v>42</v>
      </c>
      <c r="K3" s="9">
        <f>ROUND(I3/J3, 3)</f>
        <v>2.4E-2</v>
      </c>
      <c r="L3" s="9"/>
      <c r="M3" s="6" t="s">
        <v>34</v>
      </c>
    </row>
    <row r="4" spans="1:14" x14ac:dyDescent="0.2">
      <c r="A4">
        <v>2017</v>
      </c>
      <c r="B4" s="5" t="s">
        <v>19</v>
      </c>
      <c r="C4" s="17" t="s">
        <v>13</v>
      </c>
      <c r="D4" s="17" t="s">
        <v>15</v>
      </c>
      <c r="E4">
        <v>3</v>
      </c>
      <c r="F4">
        <v>42</v>
      </c>
      <c r="G4" s="9">
        <f t="shared" ref="G4:G14" si="0">ROUND(E4/F4, 3)</f>
        <v>7.0999999999999994E-2</v>
      </c>
      <c r="H4" s="9"/>
      <c r="I4">
        <v>2</v>
      </c>
      <c r="J4">
        <v>42</v>
      </c>
      <c r="K4" s="9">
        <f t="shared" ref="K4:K40" si="1">ROUND(I4/J4, 3)</f>
        <v>4.8000000000000001E-2</v>
      </c>
      <c r="L4" s="9"/>
      <c r="M4" s="6" t="s">
        <v>122</v>
      </c>
    </row>
    <row r="5" spans="1:14" x14ac:dyDescent="0.2">
      <c r="A5">
        <v>2018</v>
      </c>
      <c r="B5" s="5" t="s">
        <v>19</v>
      </c>
      <c r="C5" s="17" t="s">
        <v>13</v>
      </c>
      <c r="D5" s="17" t="s">
        <v>15</v>
      </c>
      <c r="E5">
        <v>1</v>
      </c>
      <c r="F5">
        <v>50</v>
      </c>
      <c r="G5" s="9">
        <f t="shared" si="0"/>
        <v>0.02</v>
      </c>
      <c r="H5" s="9"/>
      <c r="I5">
        <v>1</v>
      </c>
      <c r="J5">
        <v>50</v>
      </c>
      <c r="K5" s="9">
        <f t="shared" si="1"/>
        <v>0.02</v>
      </c>
      <c r="L5" s="9"/>
      <c r="M5" s="6" t="s">
        <v>18</v>
      </c>
      <c r="N5" s="5" t="s">
        <v>26</v>
      </c>
    </row>
    <row r="6" spans="1:14" x14ac:dyDescent="0.2">
      <c r="A6">
        <v>2018</v>
      </c>
      <c r="B6" s="5" t="s">
        <v>19</v>
      </c>
      <c r="C6" s="17" t="s">
        <v>13</v>
      </c>
      <c r="D6" s="17" t="s">
        <v>15</v>
      </c>
      <c r="E6">
        <v>1</v>
      </c>
      <c r="F6">
        <v>31</v>
      </c>
      <c r="G6" s="9">
        <f t="shared" si="0"/>
        <v>3.2000000000000001E-2</v>
      </c>
      <c r="H6" s="9"/>
      <c r="I6">
        <v>1</v>
      </c>
      <c r="J6">
        <v>35</v>
      </c>
      <c r="K6" s="9">
        <f t="shared" si="1"/>
        <v>2.9000000000000001E-2</v>
      </c>
      <c r="L6" s="9"/>
      <c r="M6" s="6" t="s">
        <v>122</v>
      </c>
      <c r="N6" s="5"/>
    </row>
    <row r="7" spans="1:14" x14ac:dyDescent="0.2">
      <c r="A7">
        <v>2019</v>
      </c>
      <c r="B7" s="5" t="s">
        <v>19</v>
      </c>
      <c r="C7" s="17" t="s">
        <v>13</v>
      </c>
      <c r="D7" s="17" t="s">
        <v>15</v>
      </c>
      <c r="E7">
        <v>3</v>
      </c>
      <c r="F7">
        <v>45</v>
      </c>
      <c r="G7" s="9">
        <f t="shared" si="0"/>
        <v>6.7000000000000004E-2</v>
      </c>
      <c r="H7" s="9"/>
      <c r="I7">
        <v>5</v>
      </c>
      <c r="J7">
        <v>45</v>
      </c>
      <c r="K7" s="9">
        <f t="shared" si="1"/>
        <v>0.111</v>
      </c>
      <c r="L7" s="9"/>
      <c r="M7" s="6" t="s">
        <v>18</v>
      </c>
      <c r="N7" s="5"/>
    </row>
    <row r="8" spans="1:14" x14ac:dyDescent="0.2">
      <c r="A8">
        <v>2019</v>
      </c>
      <c r="B8" s="5" t="s">
        <v>19</v>
      </c>
      <c r="C8" s="17" t="s">
        <v>13</v>
      </c>
      <c r="D8" s="17" t="s">
        <v>15</v>
      </c>
      <c r="E8">
        <v>9</v>
      </c>
      <c r="F8">
        <v>40</v>
      </c>
      <c r="G8" s="9">
        <f t="shared" si="0"/>
        <v>0.22500000000000001</v>
      </c>
      <c r="H8" s="9"/>
      <c r="I8">
        <v>5</v>
      </c>
      <c r="J8">
        <v>35</v>
      </c>
      <c r="K8" s="9">
        <f t="shared" si="1"/>
        <v>0.14299999999999999</v>
      </c>
      <c r="L8" s="9"/>
      <c r="M8" s="6" t="s">
        <v>122</v>
      </c>
      <c r="N8" s="5"/>
    </row>
    <row r="9" spans="1:14" x14ac:dyDescent="0.2">
      <c r="A9">
        <v>2020</v>
      </c>
      <c r="B9" s="5" t="s">
        <v>19</v>
      </c>
      <c r="C9" s="17" t="s">
        <v>13</v>
      </c>
      <c r="D9" s="17" t="s">
        <v>15</v>
      </c>
      <c r="E9">
        <v>30</v>
      </c>
      <c r="F9">
        <v>79</v>
      </c>
      <c r="G9" s="9">
        <f t="shared" si="0"/>
        <v>0.38</v>
      </c>
      <c r="H9" s="9"/>
      <c r="I9">
        <v>13</v>
      </c>
      <c r="J9">
        <v>80</v>
      </c>
      <c r="K9" s="9">
        <f t="shared" si="1"/>
        <v>0.16300000000000001</v>
      </c>
      <c r="L9" s="9"/>
      <c r="M9" s="6" t="s">
        <v>122</v>
      </c>
      <c r="N9" s="5"/>
    </row>
    <row r="10" spans="1:14" x14ac:dyDescent="0.2">
      <c r="A10">
        <v>2021</v>
      </c>
      <c r="B10" s="5" t="s">
        <v>19</v>
      </c>
      <c r="C10" s="17" t="s">
        <v>13</v>
      </c>
      <c r="D10" s="17" t="s">
        <v>15</v>
      </c>
      <c r="E10">
        <v>8</v>
      </c>
      <c r="F10">
        <v>50</v>
      </c>
      <c r="G10" s="9">
        <f t="shared" si="0"/>
        <v>0.16</v>
      </c>
      <c r="H10" s="9"/>
      <c r="I10">
        <v>7</v>
      </c>
      <c r="J10">
        <v>52</v>
      </c>
      <c r="K10" s="9">
        <f t="shared" si="1"/>
        <v>0.13500000000000001</v>
      </c>
      <c r="L10" s="9"/>
      <c r="M10" s="6" t="s">
        <v>122</v>
      </c>
      <c r="N10" s="5"/>
    </row>
    <row r="11" spans="1:14" x14ac:dyDescent="0.2">
      <c r="A11" s="22">
        <v>2021</v>
      </c>
      <c r="B11" s="23" t="s">
        <v>19</v>
      </c>
      <c r="C11" s="24" t="s">
        <v>13</v>
      </c>
      <c r="D11" s="24" t="s">
        <v>15</v>
      </c>
      <c r="E11" s="22">
        <v>18</v>
      </c>
      <c r="F11" s="22">
        <v>57</v>
      </c>
      <c r="G11" s="25">
        <f t="shared" si="0"/>
        <v>0.316</v>
      </c>
      <c r="H11" s="25"/>
      <c r="I11" s="22">
        <v>7</v>
      </c>
      <c r="J11" s="22">
        <v>53</v>
      </c>
      <c r="K11" s="25">
        <f t="shared" si="1"/>
        <v>0.13200000000000001</v>
      </c>
      <c r="L11" s="25"/>
      <c r="M11" s="26" t="s">
        <v>117</v>
      </c>
      <c r="N11" s="5"/>
    </row>
    <row r="12" spans="1:14" x14ac:dyDescent="0.2">
      <c r="A12" s="22">
        <v>2021</v>
      </c>
      <c r="B12" s="23" t="s">
        <v>123</v>
      </c>
      <c r="C12" s="27"/>
      <c r="D12" s="27"/>
      <c r="E12" s="22">
        <v>0</v>
      </c>
      <c r="F12" s="22">
        <v>48</v>
      </c>
      <c r="G12" s="25">
        <f t="shared" si="0"/>
        <v>0</v>
      </c>
      <c r="H12" s="25"/>
      <c r="I12" s="22">
        <v>1</v>
      </c>
      <c r="J12" s="22">
        <v>50</v>
      </c>
      <c r="K12" s="25">
        <f t="shared" si="1"/>
        <v>0.02</v>
      </c>
      <c r="L12" s="25"/>
      <c r="M12" s="26" t="s">
        <v>122</v>
      </c>
      <c r="N12" s="5"/>
    </row>
    <row r="13" spans="1:14" x14ac:dyDescent="0.2">
      <c r="A13">
        <v>2017</v>
      </c>
      <c r="B13" s="5" t="s">
        <v>20</v>
      </c>
      <c r="C13" s="17" t="s">
        <v>27</v>
      </c>
      <c r="D13" s="17"/>
      <c r="E13">
        <v>1</v>
      </c>
      <c r="F13">
        <v>43</v>
      </c>
      <c r="G13" s="9">
        <f t="shared" si="0"/>
        <v>2.3E-2</v>
      </c>
      <c r="H13" s="9"/>
      <c r="K13" s="9"/>
      <c r="L13" s="9"/>
      <c r="M13" s="6" t="s">
        <v>34</v>
      </c>
      <c r="N13" s="5"/>
    </row>
    <row r="14" spans="1:14" x14ac:dyDescent="0.2">
      <c r="A14">
        <v>2017</v>
      </c>
      <c r="B14" s="5" t="s">
        <v>20</v>
      </c>
      <c r="C14" s="17" t="s">
        <v>27</v>
      </c>
      <c r="D14" s="17"/>
      <c r="E14">
        <v>0</v>
      </c>
      <c r="F14">
        <v>45</v>
      </c>
      <c r="G14" s="9">
        <f t="shared" si="0"/>
        <v>0</v>
      </c>
      <c r="H14" s="9"/>
      <c r="I14">
        <v>1</v>
      </c>
      <c r="J14">
        <v>45</v>
      </c>
      <c r="K14" s="9">
        <f t="shared" si="1"/>
        <v>2.1999999999999999E-2</v>
      </c>
      <c r="L14" s="9"/>
      <c r="M14" s="6" t="s">
        <v>122</v>
      </c>
      <c r="N14" s="5"/>
    </row>
    <row r="15" spans="1:14" x14ac:dyDescent="0.2">
      <c r="A15">
        <v>2019</v>
      </c>
      <c r="B15" s="5" t="s">
        <v>20</v>
      </c>
      <c r="C15" s="17" t="s">
        <v>27</v>
      </c>
      <c r="D15" s="17"/>
      <c r="G15" s="9"/>
      <c r="H15" s="9"/>
      <c r="I15">
        <v>1</v>
      </c>
      <c r="J15">
        <v>49</v>
      </c>
      <c r="K15" s="9">
        <f t="shared" si="1"/>
        <v>0.02</v>
      </c>
      <c r="L15" s="9"/>
      <c r="M15" s="6" t="s">
        <v>18</v>
      </c>
      <c r="N15" s="5"/>
    </row>
    <row r="16" spans="1:14" x14ac:dyDescent="0.2">
      <c r="A16" s="22">
        <v>2021</v>
      </c>
      <c r="B16" s="23" t="s">
        <v>20</v>
      </c>
      <c r="C16" s="27" t="s">
        <v>27</v>
      </c>
      <c r="D16" s="27"/>
      <c r="E16" s="22">
        <v>2</v>
      </c>
      <c r="F16" s="22">
        <v>68</v>
      </c>
      <c r="G16" s="25">
        <f>ROUND(E16/F16, 3)</f>
        <v>2.9000000000000001E-2</v>
      </c>
      <c r="H16" s="25"/>
      <c r="I16" s="22">
        <v>1</v>
      </c>
      <c r="J16" s="22">
        <v>68</v>
      </c>
      <c r="K16" s="25">
        <f t="shared" si="1"/>
        <v>1.4999999999999999E-2</v>
      </c>
      <c r="L16" s="25"/>
      <c r="M16" s="26" t="s">
        <v>122</v>
      </c>
      <c r="N16" s="5"/>
    </row>
    <row r="17" spans="1:14" x14ac:dyDescent="0.2">
      <c r="A17" s="14">
        <v>2016</v>
      </c>
      <c r="B17" s="14" t="s">
        <v>11</v>
      </c>
      <c r="C17" s="14"/>
      <c r="D17" s="14"/>
      <c r="E17" s="14">
        <v>1</v>
      </c>
      <c r="F17" s="14">
        <v>85</v>
      </c>
      <c r="G17" s="14">
        <f>ROUND(E17/F17, 3)</f>
        <v>1.2E-2</v>
      </c>
      <c r="H17" s="14"/>
      <c r="I17" s="14"/>
      <c r="J17" s="14"/>
      <c r="K17" s="14"/>
      <c r="L17" s="14"/>
      <c r="M17" s="29" t="s">
        <v>130</v>
      </c>
      <c r="N17" s="5" t="s">
        <v>129</v>
      </c>
    </row>
    <row r="18" spans="1:14" x14ac:dyDescent="0.2">
      <c r="A18">
        <v>2017</v>
      </c>
      <c r="B18" s="5" t="s">
        <v>11</v>
      </c>
      <c r="C18" s="17"/>
      <c r="D18" s="17"/>
      <c r="E18">
        <v>0</v>
      </c>
      <c r="F18">
        <v>87</v>
      </c>
      <c r="G18" s="9">
        <f t="shared" ref="G18:G37" si="2">ROUND(E18/F18, 3)</f>
        <v>0</v>
      </c>
      <c r="H18" s="9"/>
      <c r="I18">
        <v>8</v>
      </c>
      <c r="J18">
        <v>87</v>
      </c>
      <c r="K18" s="9">
        <f t="shared" si="1"/>
        <v>9.1999999999999998E-2</v>
      </c>
      <c r="L18" s="9"/>
      <c r="M18" s="6" t="s">
        <v>10</v>
      </c>
      <c r="N18" t="s">
        <v>9</v>
      </c>
    </row>
    <row r="19" spans="1:14" x14ac:dyDescent="0.2">
      <c r="A19">
        <v>2018</v>
      </c>
      <c r="B19" s="5" t="s">
        <v>11</v>
      </c>
      <c r="C19" s="17"/>
      <c r="D19" s="17"/>
      <c r="E19">
        <v>1</v>
      </c>
      <c r="F19">
        <v>60</v>
      </c>
      <c r="G19" s="9">
        <f t="shared" si="2"/>
        <v>1.7000000000000001E-2</v>
      </c>
      <c r="H19" s="9"/>
      <c r="I19">
        <v>8</v>
      </c>
      <c r="J19">
        <v>60</v>
      </c>
      <c r="K19" s="9">
        <f t="shared" si="1"/>
        <v>0.13300000000000001</v>
      </c>
      <c r="L19" s="9"/>
      <c r="M19" s="6" t="s">
        <v>10</v>
      </c>
      <c r="N19" t="s">
        <v>16</v>
      </c>
    </row>
    <row r="20" spans="1:14" x14ac:dyDescent="0.2">
      <c r="A20" s="22">
        <v>2019</v>
      </c>
      <c r="B20" s="28" t="s">
        <v>11</v>
      </c>
      <c r="C20" s="27"/>
      <c r="D20" s="27"/>
      <c r="E20" s="22">
        <v>4</v>
      </c>
      <c r="F20" s="22">
        <v>93</v>
      </c>
      <c r="G20" s="25">
        <f t="shared" si="2"/>
        <v>4.2999999999999997E-2</v>
      </c>
      <c r="H20" s="25"/>
      <c r="I20" s="22">
        <v>11</v>
      </c>
      <c r="J20" s="22">
        <v>93</v>
      </c>
      <c r="K20" s="25">
        <f t="shared" si="1"/>
        <v>0.11799999999999999</v>
      </c>
      <c r="L20" s="25"/>
      <c r="M20" s="26" t="s">
        <v>10</v>
      </c>
      <c r="N20" t="s">
        <v>17</v>
      </c>
    </row>
    <row r="21" spans="1:14" x14ac:dyDescent="0.2">
      <c r="A21" s="22">
        <v>2020</v>
      </c>
      <c r="B21" s="28" t="s">
        <v>124</v>
      </c>
      <c r="C21" s="27"/>
      <c r="D21" s="27"/>
      <c r="E21" s="22">
        <v>8</v>
      </c>
      <c r="F21" s="22">
        <v>92</v>
      </c>
      <c r="G21" s="25">
        <f t="shared" si="2"/>
        <v>8.6999999999999994E-2</v>
      </c>
      <c r="H21" s="25"/>
      <c r="I21" s="22">
        <v>6</v>
      </c>
      <c r="J21" s="22">
        <v>92</v>
      </c>
      <c r="K21" s="25">
        <f t="shared" si="1"/>
        <v>6.5000000000000002E-2</v>
      </c>
      <c r="L21" s="25"/>
      <c r="M21" s="26" t="s">
        <v>122</v>
      </c>
    </row>
    <row r="22" spans="1:14" x14ac:dyDescent="0.2">
      <c r="A22">
        <v>2018</v>
      </c>
      <c r="B22" s="5" t="s">
        <v>21</v>
      </c>
      <c r="C22" s="17" t="s">
        <v>28</v>
      </c>
      <c r="D22" s="17"/>
      <c r="E22">
        <v>2</v>
      </c>
      <c r="F22">
        <v>50</v>
      </c>
      <c r="G22" s="9">
        <f t="shared" si="2"/>
        <v>0.04</v>
      </c>
      <c r="H22" s="9"/>
      <c r="I22">
        <v>4</v>
      </c>
      <c r="J22">
        <v>50</v>
      </c>
      <c r="K22" s="9">
        <f t="shared" si="1"/>
        <v>0.08</v>
      </c>
      <c r="L22" s="9"/>
      <c r="M22" s="6" t="s">
        <v>18</v>
      </c>
      <c r="N22" s="5"/>
    </row>
    <row r="23" spans="1:14" x14ac:dyDescent="0.2">
      <c r="A23">
        <v>2018</v>
      </c>
      <c r="B23" s="5" t="s">
        <v>21</v>
      </c>
      <c r="C23" s="17" t="s">
        <v>28</v>
      </c>
      <c r="D23" s="17"/>
      <c r="E23">
        <v>1</v>
      </c>
      <c r="F23">
        <v>29</v>
      </c>
      <c r="G23" s="9">
        <f t="shared" si="2"/>
        <v>3.4000000000000002E-2</v>
      </c>
      <c r="H23" s="9"/>
      <c r="I23">
        <v>3</v>
      </c>
      <c r="J23">
        <v>34</v>
      </c>
      <c r="K23" s="9">
        <f t="shared" si="1"/>
        <v>8.7999999999999995E-2</v>
      </c>
      <c r="L23" s="9"/>
      <c r="M23" s="6" t="s">
        <v>122</v>
      </c>
      <c r="N23" s="5"/>
    </row>
    <row r="24" spans="1:14" x14ac:dyDescent="0.2">
      <c r="A24">
        <v>2019</v>
      </c>
      <c r="B24" s="5" t="s">
        <v>21</v>
      </c>
      <c r="C24" s="17" t="s">
        <v>28</v>
      </c>
      <c r="D24" s="17"/>
      <c r="E24">
        <v>1</v>
      </c>
      <c r="F24">
        <v>47</v>
      </c>
      <c r="G24" s="9">
        <f t="shared" si="2"/>
        <v>2.1000000000000001E-2</v>
      </c>
      <c r="H24" s="9"/>
      <c r="I24">
        <v>9</v>
      </c>
      <c r="J24">
        <v>47</v>
      </c>
      <c r="K24" s="9">
        <f t="shared" si="1"/>
        <v>0.191</v>
      </c>
      <c r="L24" s="9"/>
      <c r="M24" s="6" t="s">
        <v>18</v>
      </c>
      <c r="N24" s="5"/>
    </row>
    <row r="25" spans="1:14" x14ac:dyDescent="0.2">
      <c r="A25">
        <v>2019</v>
      </c>
      <c r="B25" s="5" t="s">
        <v>21</v>
      </c>
      <c r="C25" s="17" t="s">
        <v>28</v>
      </c>
      <c r="D25" s="17"/>
      <c r="E25">
        <v>0</v>
      </c>
      <c r="F25">
        <v>32</v>
      </c>
      <c r="G25" s="9">
        <f t="shared" si="2"/>
        <v>0</v>
      </c>
      <c r="H25" s="9"/>
      <c r="I25">
        <v>8</v>
      </c>
      <c r="J25">
        <v>31</v>
      </c>
      <c r="K25" s="9">
        <f t="shared" si="1"/>
        <v>0.25800000000000001</v>
      </c>
      <c r="L25" s="9"/>
      <c r="M25" s="6" t="s">
        <v>122</v>
      </c>
      <c r="N25" s="5"/>
    </row>
    <row r="26" spans="1:14" x14ac:dyDescent="0.2">
      <c r="A26">
        <v>2020</v>
      </c>
      <c r="B26" s="5" t="s">
        <v>21</v>
      </c>
      <c r="C26" s="17" t="s">
        <v>28</v>
      </c>
      <c r="D26" s="17"/>
      <c r="E26">
        <v>12</v>
      </c>
      <c r="F26">
        <v>74</v>
      </c>
      <c r="G26" s="9">
        <f t="shared" si="2"/>
        <v>0.16200000000000001</v>
      </c>
      <c r="H26" s="9"/>
      <c r="I26">
        <v>14</v>
      </c>
      <c r="J26">
        <v>75</v>
      </c>
      <c r="K26" s="9">
        <f t="shared" si="1"/>
        <v>0.187</v>
      </c>
      <c r="L26" s="9"/>
      <c r="M26" s="6" t="s">
        <v>122</v>
      </c>
      <c r="N26" s="5"/>
    </row>
    <row r="27" spans="1:14" x14ac:dyDescent="0.2">
      <c r="A27" s="22">
        <v>2021</v>
      </c>
      <c r="B27" s="28" t="s">
        <v>21</v>
      </c>
      <c r="C27" s="27" t="s">
        <v>28</v>
      </c>
      <c r="D27" s="27"/>
      <c r="E27" s="22">
        <v>7</v>
      </c>
      <c r="F27" s="22">
        <v>57</v>
      </c>
      <c r="G27" s="25">
        <f t="shared" si="2"/>
        <v>0.123</v>
      </c>
      <c r="H27" s="25"/>
      <c r="I27" s="22">
        <v>10</v>
      </c>
      <c r="J27" s="22">
        <v>59</v>
      </c>
      <c r="K27" s="25">
        <f t="shared" si="1"/>
        <v>0.16900000000000001</v>
      </c>
      <c r="L27" s="25"/>
      <c r="M27" s="26" t="s">
        <v>122</v>
      </c>
      <c r="N27" s="5"/>
    </row>
    <row r="28" spans="1:14" x14ac:dyDescent="0.2">
      <c r="A28" s="22">
        <v>2021</v>
      </c>
      <c r="B28" s="28" t="s">
        <v>125</v>
      </c>
      <c r="C28" s="27"/>
      <c r="D28" s="27"/>
      <c r="E28" s="22">
        <v>1</v>
      </c>
      <c r="F28" s="22">
        <v>77</v>
      </c>
      <c r="G28" s="25">
        <f t="shared" si="2"/>
        <v>1.2999999999999999E-2</v>
      </c>
      <c r="H28" s="25"/>
      <c r="I28" s="22">
        <v>3</v>
      </c>
      <c r="J28" s="22">
        <v>71</v>
      </c>
      <c r="K28" s="25">
        <f t="shared" si="1"/>
        <v>4.2000000000000003E-2</v>
      </c>
      <c r="L28" s="25"/>
      <c r="M28" s="26" t="s">
        <v>122</v>
      </c>
      <c r="N28" s="5"/>
    </row>
    <row r="29" spans="1:14" x14ac:dyDescent="0.2">
      <c r="A29">
        <v>2018</v>
      </c>
      <c r="B29" s="5" t="s">
        <v>23</v>
      </c>
      <c r="C29" s="17" t="s">
        <v>31</v>
      </c>
      <c r="D29" s="17" t="s">
        <v>32</v>
      </c>
      <c r="E29">
        <v>2</v>
      </c>
      <c r="F29">
        <v>50</v>
      </c>
      <c r="G29" s="9">
        <f t="shared" ref="G29:G36" si="3">ROUND(E29/F29, 3)</f>
        <v>0.04</v>
      </c>
      <c r="H29" s="9"/>
      <c r="I29">
        <v>2</v>
      </c>
      <c r="J29">
        <v>50</v>
      </c>
      <c r="K29" s="9">
        <f t="shared" ref="K29:K36" si="4">ROUND(I29/J29, 3)</f>
        <v>0.04</v>
      </c>
      <c r="L29" s="9"/>
      <c r="M29" s="6" t="s">
        <v>18</v>
      </c>
      <c r="N29" s="5"/>
    </row>
    <row r="30" spans="1:14" x14ac:dyDescent="0.2">
      <c r="A30">
        <v>2018</v>
      </c>
      <c r="B30" s="5" t="s">
        <v>23</v>
      </c>
      <c r="C30" s="17" t="s">
        <v>31</v>
      </c>
      <c r="D30" s="17" t="s">
        <v>32</v>
      </c>
      <c r="E30">
        <v>2</v>
      </c>
      <c r="F30">
        <v>40</v>
      </c>
      <c r="G30" s="9">
        <f t="shared" si="3"/>
        <v>0.05</v>
      </c>
      <c r="H30" s="9"/>
      <c r="I30">
        <v>1</v>
      </c>
      <c r="J30">
        <v>45</v>
      </c>
      <c r="K30" s="9">
        <f t="shared" si="4"/>
        <v>2.1999999999999999E-2</v>
      </c>
      <c r="L30" s="9"/>
      <c r="M30" s="6" t="s">
        <v>122</v>
      </c>
      <c r="N30" s="5"/>
    </row>
    <row r="31" spans="1:14" x14ac:dyDescent="0.2">
      <c r="A31">
        <v>2019</v>
      </c>
      <c r="B31" s="5" t="s">
        <v>23</v>
      </c>
      <c r="C31" s="17" t="s">
        <v>31</v>
      </c>
      <c r="D31" s="17" t="s">
        <v>32</v>
      </c>
      <c r="E31">
        <v>2</v>
      </c>
      <c r="F31">
        <v>47</v>
      </c>
      <c r="G31" s="9">
        <f t="shared" si="3"/>
        <v>4.2999999999999997E-2</v>
      </c>
      <c r="H31" s="9"/>
      <c r="I31">
        <v>2</v>
      </c>
      <c r="J31">
        <v>47</v>
      </c>
      <c r="K31" s="9">
        <f t="shared" si="4"/>
        <v>4.2999999999999997E-2</v>
      </c>
      <c r="L31" s="9"/>
      <c r="M31" s="6" t="s">
        <v>18</v>
      </c>
      <c r="N31" s="5"/>
    </row>
    <row r="32" spans="1:14" x14ac:dyDescent="0.2">
      <c r="A32">
        <v>2019</v>
      </c>
      <c r="B32" s="5" t="s">
        <v>23</v>
      </c>
      <c r="C32" s="17" t="s">
        <v>31</v>
      </c>
      <c r="D32" s="17" t="s">
        <v>32</v>
      </c>
      <c r="E32">
        <v>1</v>
      </c>
      <c r="F32">
        <v>39</v>
      </c>
      <c r="G32" s="9">
        <f t="shared" si="3"/>
        <v>2.5999999999999999E-2</v>
      </c>
      <c r="H32" s="9"/>
      <c r="I32">
        <v>4</v>
      </c>
      <c r="J32">
        <v>37</v>
      </c>
      <c r="K32" s="9">
        <f t="shared" si="4"/>
        <v>0.108</v>
      </c>
      <c r="L32" s="9"/>
      <c r="M32" s="6" t="s">
        <v>122</v>
      </c>
      <c r="N32" s="5"/>
    </row>
    <row r="33" spans="1:14" x14ac:dyDescent="0.2">
      <c r="A33">
        <v>2020</v>
      </c>
      <c r="B33" s="5" t="s">
        <v>23</v>
      </c>
      <c r="C33" s="17" t="s">
        <v>31</v>
      </c>
      <c r="D33" s="17" t="s">
        <v>32</v>
      </c>
      <c r="E33">
        <v>11</v>
      </c>
      <c r="F33">
        <v>87</v>
      </c>
      <c r="G33" s="9">
        <f t="shared" si="3"/>
        <v>0.126</v>
      </c>
      <c r="H33" s="9"/>
      <c r="I33">
        <v>6</v>
      </c>
      <c r="J33">
        <v>88</v>
      </c>
      <c r="K33" s="9">
        <f t="shared" si="4"/>
        <v>6.8000000000000005E-2</v>
      </c>
      <c r="L33" s="9"/>
      <c r="M33" s="6" t="s">
        <v>122</v>
      </c>
      <c r="N33" s="5"/>
    </row>
    <row r="34" spans="1:14" x14ac:dyDescent="0.2">
      <c r="A34" s="22">
        <v>2021</v>
      </c>
      <c r="B34" s="28" t="s">
        <v>23</v>
      </c>
      <c r="C34" s="27" t="s">
        <v>31</v>
      </c>
      <c r="D34" s="27" t="s">
        <v>32</v>
      </c>
      <c r="E34" s="22">
        <v>7</v>
      </c>
      <c r="F34" s="22">
        <v>58</v>
      </c>
      <c r="G34" s="25">
        <f t="shared" si="3"/>
        <v>0.121</v>
      </c>
      <c r="H34" s="25"/>
      <c r="I34" s="22">
        <v>9</v>
      </c>
      <c r="J34" s="22">
        <v>58</v>
      </c>
      <c r="K34" s="25">
        <f t="shared" si="4"/>
        <v>0.155</v>
      </c>
      <c r="L34" s="25"/>
      <c r="M34" s="26" t="s">
        <v>122</v>
      </c>
      <c r="N34" s="5"/>
    </row>
    <row r="35" spans="1:14" x14ac:dyDescent="0.2">
      <c r="A35">
        <v>2020</v>
      </c>
      <c r="B35" s="5" t="s">
        <v>126</v>
      </c>
      <c r="C35" s="17"/>
      <c r="D35" s="17"/>
      <c r="E35">
        <v>2</v>
      </c>
      <c r="F35">
        <v>56</v>
      </c>
      <c r="G35" s="9">
        <f t="shared" si="3"/>
        <v>3.5999999999999997E-2</v>
      </c>
      <c r="H35" s="9"/>
      <c r="I35">
        <v>5</v>
      </c>
      <c r="J35">
        <v>64</v>
      </c>
      <c r="K35" s="9">
        <f t="shared" si="4"/>
        <v>7.8E-2</v>
      </c>
      <c r="L35" s="9"/>
      <c r="M35" s="6" t="s">
        <v>122</v>
      </c>
      <c r="N35" s="5"/>
    </row>
    <row r="36" spans="1:14" x14ac:dyDescent="0.2">
      <c r="A36" s="22">
        <v>2021</v>
      </c>
      <c r="B36" s="28" t="s">
        <v>126</v>
      </c>
      <c r="C36" s="27"/>
      <c r="D36" s="27"/>
      <c r="E36" s="22">
        <v>1</v>
      </c>
      <c r="F36" s="22">
        <v>46</v>
      </c>
      <c r="G36" s="25">
        <f t="shared" si="3"/>
        <v>2.1999999999999999E-2</v>
      </c>
      <c r="H36" s="25"/>
      <c r="I36" s="22">
        <v>5</v>
      </c>
      <c r="J36" s="22">
        <v>44</v>
      </c>
      <c r="K36" s="25">
        <f t="shared" si="4"/>
        <v>0.114</v>
      </c>
      <c r="L36" s="25"/>
      <c r="M36" s="26" t="s">
        <v>122</v>
      </c>
      <c r="N36" s="5"/>
    </row>
    <row r="37" spans="1:14" x14ac:dyDescent="0.2">
      <c r="A37">
        <v>2017</v>
      </c>
      <c r="B37" s="5" t="s">
        <v>24</v>
      </c>
      <c r="C37" s="17" t="s">
        <v>33</v>
      </c>
      <c r="D37" s="17"/>
      <c r="E37">
        <v>1</v>
      </c>
      <c r="F37">
        <v>47</v>
      </c>
      <c r="G37" s="9">
        <f t="shared" si="2"/>
        <v>2.1000000000000001E-2</v>
      </c>
      <c r="H37" s="9"/>
      <c r="I37">
        <v>1</v>
      </c>
      <c r="J37">
        <v>46</v>
      </c>
      <c r="K37" s="9">
        <f t="shared" si="1"/>
        <v>2.1999999999999999E-2</v>
      </c>
      <c r="L37" s="9"/>
      <c r="M37" s="6" t="s">
        <v>34</v>
      </c>
      <c r="N37" s="5"/>
    </row>
    <row r="38" spans="1:14" x14ac:dyDescent="0.2">
      <c r="A38">
        <v>2018</v>
      </c>
      <c r="B38" s="5" t="s">
        <v>24</v>
      </c>
      <c r="C38" s="17" t="s">
        <v>33</v>
      </c>
      <c r="D38" s="17"/>
      <c r="G38" s="9"/>
      <c r="H38" s="9"/>
      <c r="I38">
        <v>1</v>
      </c>
      <c r="J38">
        <v>50</v>
      </c>
      <c r="K38" s="9">
        <f t="shared" si="1"/>
        <v>0.02</v>
      </c>
      <c r="L38" s="9"/>
      <c r="M38" s="6" t="s">
        <v>18</v>
      </c>
      <c r="N38" s="5"/>
    </row>
    <row r="39" spans="1:14" x14ac:dyDescent="0.2">
      <c r="A39" s="22">
        <v>2019</v>
      </c>
      <c r="B39" s="28" t="s">
        <v>24</v>
      </c>
      <c r="C39" s="27" t="s">
        <v>33</v>
      </c>
      <c r="D39" s="27"/>
      <c r="E39" s="22">
        <v>5</v>
      </c>
      <c r="F39" s="22">
        <v>46</v>
      </c>
      <c r="G39" s="25">
        <f t="shared" ref="G39:G53" si="5">ROUND(E39/F39, 3)</f>
        <v>0.109</v>
      </c>
      <c r="H39" s="25"/>
      <c r="I39" s="22">
        <v>2</v>
      </c>
      <c r="J39" s="22">
        <v>46</v>
      </c>
      <c r="K39" s="25">
        <f t="shared" si="1"/>
        <v>4.2999999999999997E-2</v>
      </c>
      <c r="L39" s="25"/>
      <c r="M39" s="26" t="s">
        <v>18</v>
      </c>
      <c r="N39" s="5"/>
    </row>
    <row r="40" spans="1:14" x14ac:dyDescent="0.2">
      <c r="A40">
        <v>2016</v>
      </c>
      <c r="B40" s="5" t="s">
        <v>25</v>
      </c>
      <c r="C40" s="17"/>
      <c r="D40" s="17"/>
      <c r="E40">
        <v>2</v>
      </c>
      <c r="F40">
        <v>32</v>
      </c>
      <c r="G40" s="9">
        <f t="shared" si="5"/>
        <v>6.3E-2</v>
      </c>
      <c r="H40" s="9"/>
      <c r="I40">
        <v>2</v>
      </c>
      <c r="J40">
        <v>37</v>
      </c>
      <c r="K40" s="9">
        <f t="shared" si="1"/>
        <v>5.3999999999999999E-2</v>
      </c>
      <c r="L40" s="9"/>
      <c r="M40" s="6" t="s">
        <v>122</v>
      </c>
      <c r="N40" s="5"/>
    </row>
    <row r="41" spans="1:14" x14ac:dyDescent="0.2">
      <c r="A41">
        <v>2017</v>
      </c>
      <c r="B41" s="5" t="s">
        <v>25</v>
      </c>
      <c r="C41" s="17"/>
      <c r="D41" s="17"/>
      <c r="E41">
        <v>4</v>
      </c>
      <c r="F41">
        <v>43</v>
      </c>
      <c r="G41" s="9">
        <f t="shared" si="5"/>
        <v>9.2999999999999999E-2</v>
      </c>
      <c r="H41" s="9"/>
      <c r="I41">
        <v>1</v>
      </c>
      <c r="J41">
        <v>43</v>
      </c>
      <c r="K41" s="9">
        <f t="shared" ref="K41:K53" si="6">ROUND(I41/J41, 3)</f>
        <v>2.3E-2</v>
      </c>
      <c r="L41" s="9"/>
      <c r="M41" s="6" t="s">
        <v>34</v>
      </c>
      <c r="N41" s="5"/>
    </row>
    <row r="42" spans="1:14" x14ac:dyDescent="0.2">
      <c r="A42">
        <v>2017</v>
      </c>
      <c r="B42" s="5" t="s">
        <v>25</v>
      </c>
      <c r="C42" s="17"/>
      <c r="D42" s="17"/>
      <c r="E42">
        <v>3</v>
      </c>
      <c r="F42">
        <v>44</v>
      </c>
      <c r="G42" s="9">
        <f t="shared" si="5"/>
        <v>6.8000000000000005E-2</v>
      </c>
      <c r="H42" s="9"/>
      <c r="I42">
        <v>4</v>
      </c>
      <c r="J42">
        <v>44</v>
      </c>
      <c r="K42" s="9">
        <f t="shared" si="6"/>
        <v>9.0999999999999998E-2</v>
      </c>
      <c r="L42" s="9"/>
      <c r="M42" s="6" t="s">
        <v>122</v>
      </c>
      <c r="N42" s="5"/>
    </row>
    <row r="43" spans="1:14" x14ac:dyDescent="0.2">
      <c r="A43">
        <v>2018</v>
      </c>
      <c r="B43" s="5" t="s">
        <v>25</v>
      </c>
      <c r="C43" s="17"/>
      <c r="D43" s="17"/>
      <c r="E43">
        <v>7</v>
      </c>
      <c r="F43">
        <v>50</v>
      </c>
      <c r="G43" s="9">
        <f t="shared" si="5"/>
        <v>0.14000000000000001</v>
      </c>
      <c r="H43" s="9"/>
      <c r="I43">
        <v>1</v>
      </c>
      <c r="J43">
        <v>50</v>
      </c>
      <c r="K43" s="9">
        <f t="shared" si="6"/>
        <v>0.02</v>
      </c>
      <c r="L43" s="9"/>
      <c r="M43" s="6" t="s">
        <v>18</v>
      </c>
      <c r="N43" s="5"/>
    </row>
    <row r="44" spans="1:14" x14ac:dyDescent="0.2">
      <c r="A44">
        <v>2018</v>
      </c>
      <c r="B44" s="5" t="s">
        <v>25</v>
      </c>
      <c r="C44" s="17"/>
      <c r="D44" s="17"/>
      <c r="E44">
        <v>6</v>
      </c>
      <c r="F44">
        <v>32</v>
      </c>
      <c r="G44" s="9">
        <f t="shared" si="5"/>
        <v>0.188</v>
      </c>
      <c r="H44" s="9"/>
      <c r="I44">
        <v>1</v>
      </c>
      <c r="J44">
        <v>36</v>
      </c>
      <c r="K44" s="9">
        <f t="shared" si="6"/>
        <v>2.8000000000000001E-2</v>
      </c>
      <c r="L44" s="9"/>
      <c r="M44" s="6" t="s">
        <v>122</v>
      </c>
      <c r="N44" s="5"/>
    </row>
    <row r="45" spans="1:14" x14ac:dyDescent="0.2">
      <c r="A45">
        <v>2019</v>
      </c>
      <c r="B45" s="5" t="s">
        <v>25</v>
      </c>
      <c r="C45" s="17"/>
      <c r="D45" s="17"/>
      <c r="E45">
        <v>6</v>
      </c>
      <c r="F45">
        <v>40</v>
      </c>
      <c r="G45" s="9">
        <f t="shared" si="5"/>
        <v>0.15</v>
      </c>
      <c r="H45" s="9"/>
      <c r="I45">
        <v>5</v>
      </c>
      <c r="J45">
        <v>40</v>
      </c>
      <c r="K45" s="9">
        <f t="shared" si="6"/>
        <v>0.125</v>
      </c>
      <c r="L45" s="9"/>
      <c r="M45" s="6" t="s">
        <v>18</v>
      </c>
      <c r="N45" s="5"/>
    </row>
    <row r="46" spans="1:14" x14ac:dyDescent="0.2">
      <c r="A46">
        <v>2019</v>
      </c>
      <c r="B46" s="5" t="s">
        <v>25</v>
      </c>
      <c r="C46" s="17"/>
      <c r="D46" s="17"/>
      <c r="E46">
        <v>4</v>
      </c>
      <c r="F46">
        <v>31</v>
      </c>
      <c r="G46" s="9">
        <f t="shared" si="5"/>
        <v>0.129</v>
      </c>
      <c r="H46" s="9"/>
      <c r="I46">
        <v>5</v>
      </c>
      <c r="J46">
        <v>31</v>
      </c>
      <c r="K46" s="9">
        <f t="shared" si="6"/>
        <v>0.161</v>
      </c>
      <c r="L46" s="9"/>
      <c r="M46" s="6" t="s">
        <v>122</v>
      </c>
      <c r="N46" s="5"/>
    </row>
    <row r="47" spans="1:14" x14ac:dyDescent="0.2">
      <c r="A47">
        <v>2020</v>
      </c>
      <c r="B47" s="5" t="s">
        <v>25</v>
      </c>
      <c r="C47" s="17"/>
      <c r="D47" s="17"/>
      <c r="E47">
        <v>28</v>
      </c>
      <c r="F47">
        <v>84</v>
      </c>
      <c r="G47" s="9">
        <f t="shared" si="5"/>
        <v>0.33300000000000002</v>
      </c>
      <c r="H47" s="9"/>
      <c r="I47">
        <v>16</v>
      </c>
      <c r="J47">
        <v>84</v>
      </c>
      <c r="K47" s="9">
        <f t="shared" si="6"/>
        <v>0.19</v>
      </c>
      <c r="L47" s="9"/>
      <c r="M47" s="6" t="s">
        <v>122</v>
      </c>
      <c r="N47" s="5"/>
    </row>
    <row r="48" spans="1:14" x14ac:dyDescent="0.2">
      <c r="A48" s="22">
        <v>2021</v>
      </c>
      <c r="B48" s="28" t="s">
        <v>25</v>
      </c>
      <c r="C48" s="27"/>
      <c r="D48" s="27"/>
      <c r="E48" s="22">
        <v>16</v>
      </c>
      <c r="F48" s="22">
        <v>51</v>
      </c>
      <c r="G48" s="25">
        <f t="shared" si="5"/>
        <v>0.314</v>
      </c>
      <c r="H48" s="25"/>
      <c r="I48" s="22">
        <v>12</v>
      </c>
      <c r="J48" s="22">
        <v>53</v>
      </c>
      <c r="K48" s="25">
        <f t="shared" si="6"/>
        <v>0.22600000000000001</v>
      </c>
      <c r="L48" s="25"/>
      <c r="M48" s="26" t="s">
        <v>122</v>
      </c>
      <c r="N48" s="5"/>
    </row>
    <row r="49" spans="1:14" x14ac:dyDescent="0.2">
      <c r="A49" s="22">
        <v>2020</v>
      </c>
      <c r="B49" s="28" t="s">
        <v>127</v>
      </c>
      <c r="C49" s="27"/>
      <c r="D49" s="27"/>
      <c r="E49" s="22">
        <v>3</v>
      </c>
      <c r="F49" s="22">
        <v>88</v>
      </c>
      <c r="G49" s="25">
        <f t="shared" si="5"/>
        <v>3.4000000000000002E-2</v>
      </c>
      <c r="H49" s="25"/>
      <c r="I49" s="22">
        <v>6</v>
      </c>
      <c r="J49" s="22">
        <v>87</v>
      </c>
      <c r="K49" s="25">
        <f t="shared" si="6"/>
        <v>6.9000000000000006E-2</v>
      </c>
      <c r="L49" s="25"/>
      <c r="M49" s="26" t="s">
        <v>122</v>
      </c>
      <c r="N49" s="5"/>
    </row>
    <row r="50" spans="1:14" x14ac:dyDescent="0.2">
      <c r="A50">
        <v>2019</v>
      </c>
      <c r="B50" s="5" t="s">
        <v>128</v>
      </c>
      <c r="C50" s="17"/>
      <c r="D50" s="17"/>
      <c r="E50">
        <v>0</v>
      </c>
      <c r="F50">
        <v>14</v>
      </c>
      <c r="G50" s="9">
        <f t="shared" si="5"/>
        <v>0</v>
      </c>
      <c r="H50" s="9"/>
      <c r="I50">
        <v>1</v>
      </c>
      <c r="J50">
        <v>14</v>
      </c>
      <c r="K50" s="9">
        <f t="shared" si="6"/>
        <v>7.0999999999999994E-2</v>
      </c>
      <c r="L50" s="9"/>
      <c r="M50" s="6" t="s">
        <v>122</v>
      </c>
      <c r="N50" s="5"/>
    </row>
    <row r="51" spans="1:14" x14ac:dyDescent="0.2">
      <c r="A51">
        <v>2020</v>
      </c>
      <c r="B51" s="5" t="s">
        <v>128</v>
      </c>
      <c r="C51" s="17"/>
      <c r="D51" s="17"/>
      <c r="E51">
        <v>0</v>
      </c>
      <c r="F51">
        <v>39</v>
      </c>
      <c r="G51" s="9">
        <f t="shared" si="5"/>
        <v>0</v>
      </c>
      <c r="H51" s="9"/>
      <c r="I51">
        <v>1</v>
      </c>
      <c r="J51">
        <v>39</v>
      </c>
      <c r="K51" s="9">
        <f t="shared" si="6"/>
        <v>2.5999999999999999E-2</v>
      </c>
      <c r="L51" s="9"/>
      <c r="M51" s="6" t="s">
        <v>122</v>
      </c>
      <c r="N51" s="5"/>
    </row>
    <row r="52" spans="1:14" x14ac:dyDescent="0.2">
      <c r="A52" s="22">
        <v>2021</v>
      </c>
      <c r="B52" s="28" t="s">
        <v>128</v>
      </c>
      <c r="C52" s="27"/>
      <c r="D52" s="27"/>
      <c r="E52" s="22">
        <v>0</v>
      </c>
      <c r="F52" s="22">
        <v>72</v>
      </c>
      <c r="G52" s="25">
        <f t="shared" si="5"/>
        <v>0</v>
      </c>
      <c r="H52" s="25"/>
      <c r="I52" s="22">
        <v>2</v>
      </c>
      <c r="J52" s="22">
        <v>82</v>
      </c>
      <c r="K52" s="25">
        <f t="shared" si="6"/>
        <v>2.4E-2</v>
      </c>
      <c r="L52" s="25"/>
      <c r="M52" s="26" t="s">
        <v>122</v>
      </c>
      <c r="N52" s="5"/>
    </row>
    <row r="53" spans="1:14" x14ac:dyDescent="0.2">
      <c r="A53" s="22">
        <v>2021</v>
      </c>
      <c r="B53" s="28" t="s">
        <v>118</v>
      </c>
      <c r="C53" s="27"/>
      <c r="D53" s="27"/>
      <c r="E53" s="22">
        <v>3</v>
      </c>
      <c r="F53" s="22">
        <v>73</v>
      </c>
      <c r="G53" s="25">
        <f t="shared" si="5"/>
        <v>4.1000000000000002E-2</v>
      </c>
      <c r="H53" s="25"/>
      <c r="I53" s="22">
        <v>3</v>
      </c>
      <c r="J53" s="22">
        <v>74</v>
      </c>
      <c r="K53" s="25">
        <f t="shared" si="6"/>
        <v>4.1000000000000002E-2</v>
      </c>
      <c r="L53" s="25"/>
      <c r="M53" s="26" t="s">
        <v>122</v>
      </c>
      <c r="N53" s="5"/>
    </row>
    <row r="54" spans="1:14" x14ac:dyDescent="0.2">
      <c r="B54" s="5"/>
      <c r="C54" s="17"/>
      <c r="D54" s="17"/>
      <c r="G54" s="9"/>
      <c r="H54" s="9"/>
      <c r="K54" s="9"/>
      <c r="L54" s="9"/>
      <c r="M54" s="6"/>
      <c r="N54" s="5"/>
    </row>
    <row r="55" spans="1:14" x14ac:dyDescent="0.2">
      <c r="A55">
        <v>2021</v>
      </c>
      <c r="B55" s="17" t="s">
        <v>118</v>
      </c>
      <c r="C55" s="17" t="s">
        <v>108</v>
      </c>
      <c r="D55" s="17"/>
      <c r="E55" s="34">
        <v>1</v>
      </c>
      <c r="F55" s="34">
        <v>39</v>
      </c>
      <c r="G55" s="35">
        <f>ROUND(E55/F55, 3)</f>
        <v>2.5999999999999999E-2</v>
      </c>
      <c r="H55" s="20"/>
      <c r="I55" s="34">
        <v>1</v>
      </c>
      <c r="J55" s="34">
        <v>39</v>
      </c>
      <c r="K55" s="35">
        <f>ROUND(I55/J55, 3)</f>
        <v>2.5999999999999999E-2</v>
      </c>
      <c r="L55" s="20"/>
      <c r="M55" s="6" t="s">
        <v>117</v>
      </c>
      <c r="N55" s="33" t="s">
        <v>131</v>
      </c>
    </row>
    <row r="56" spans="1:14" x14ac:dyDescent="0.2">
      <c r="A56">
        <v>2021</v>
      </c>
      <c r="B56" s="17" t="s">
        <v>119</v>
      </c>
      <c r="C56" s="17" t="s">
        <v>107</v>
      </c>
      <c r="D56" s="17"/>
      <c r="E56" s="34"/>
      <c r="F56" s="34"/>
      <c r="G56" s="35"/>
      <c r="H56" s="20"/>
      <c r="I56" s="34"/>
      <c r="J56" s="34"/>
      <c r="K56" s="35"/>
      <c r="L56" s="20"/>
      <c r="M56" s="6" t="s">
        <v>117</v>
      </c>
      <c r="N56" s="33"/>
    </row>
    <row r="57" spans="1:14" x14ac:dyDescent="0.2">
      <c r="B57" s="17"/>
      <c r="C57" s="17"/>
      <c r="D57" s="17"/>
      <c r="E57" s="18"/>
      <c r="F57" s="18"/>
      <c r="G57" s="20"/>
      <c r="H57" s="20"/>
      <c r="I57" s="18"/>
      <c r="J57" s="18"/>
      <c r="K57" s="20"/>
      <c r="L57" s="20"/>
      <c r="M57" s="6"/>
      <c r="N57" s="17"/>
    </row>
    <row r="58" spans="1:14" x14ac:dyDescent="0.2">
      <c r="A58">
        <v>2019</v>
      </c>
      <c r="B58" s="17" t="s">
        <v>22</v>
      </c>
      <c r="C58" s="17" t="s">
        <v>29</v>
      </c>
      <c r="D58" s="17" t="s">
        <v>30</v>
      </c>
      <c r="G58" s="9"/>
      <c r="H58" s="9"/>
      <c r="I58">
        <v>1</v>
      </c>
      <c r="J58">
        <v>15</v>
      </c>
      <c r="K58" s="9">
        <f>ROUND(I58/J58, 3)</f>
        <v>6.7000000000000004E-2</v>
      </c>
      <c r="L58" s="9"/>
      <c r="M58" s="6"/>
      <c r="N58" s="5"/>
    </row>
    <row r="59" spans="1:14" x14ac:dyDescent="0.2">
      <c r="B59" s="6"/>
      <c r="C59" s="6"/>
      <c r="D59" s="6"/>
      <c r="M59" s="6"/>
      <c r="N59" s="5"/>
    </row>
    <row r="62" spans="1:14" x14ac:dyDescent="0.2">
      <c r="E62" t="s">
        <v>115</v>
      </c>
      <c r="F62" t="s">
        <v>116</v>
      </c>
      <c r="I62" t="s">
        <v>115</v>
      </c>
      <c r="J62" t="s">
        <v>116</v>
      </c>
    </row>
    <row r="63" spans="1:14" x14ac:dyDescent="0.2">
      <c r="E63">
        <f>SUM(E3:E58)</f>
        <v>232</v>
      </c>
      <c r="F63">
        <f>COUNTA(F3:F58)</f>
        <v>50</v>
      </c>
      <c r="I63">
        <f>SUM(I3:I58)</f>
        <v>230</v>
      </c>
      <c r="J63">
        <f>COUNTA(J3:J58)</f>
        <v>51</v>
      </c>
    </row>
  </sheetData>
  <mergeCells count="11">
    <mergeCell ref="A1:C1"/>
    <mergeCell ref="M1:N1"/>
    <mergeCell ref="N55:N56"/>
    <mergeCell ref="I55:I56"/>
    <mergeCell ref="J55:J56"/>
    <mergeCell ref="K55:K56"/>
    <mergeCell ref="E55:E56"/>
    <mergeCell ref="F55:F56"/>
    <mergeCell ref="G55:G56"/>
    <mergeCell ref="I1:L1"/>
    <mergeCell ref="E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9E73E-872C-4C61-AC09-1F764CA73447}">
  <dimension ref="A1:K23"/>
  <sheetViews>
    <sheetView workbookViewId="0">
      <selection activeCell="H23" sqref="H23"/>
    </sheetView>
  </sheetViews>
  <sheetFormatPr baseColWidth="10" defaultColWidth="8.83203125" defaultRowHeight="15" x14ac:dyDescent="0.2"/>
  <cols>
    <col min="5" max="5" width="10.33203125" bestFit="1" customWidth="1"/>
    <col min="10" max="10" width="18" bestFit="1" customWidth="1"/>
  </cols>
  <sheetData>
    <row r="1" spans="1:11" x14ac:dyDescent="0.2">
      <c r="B1" s="36" t="s">
        <v>35</v>
      </c>
      <c r="C1" s="36"/>
      <c r="D1" s="36"/>
      <c r="G1" s="36" t="s">
        <v>58</v>
      </c>
      <c r="H1" s="36"/>
      <c r="J1" s="36"/>
      <c r="K1" s="36"/>
    </row>
    <row r="2" spans="1:11" x14ac:dyDescent="0.2">
      <c r="B2" t="s">
        <v>55</v>
      </c>
      <c r="C2" t="s">
        <v>56</v>
      </c>
      <c r="D2" t="s">
        <v>54</v>
      </c>
      <c r="E2" t="s">
        <v>57</v>
      </c>
      <c r="G2" t="s">
        <v>59</v>
      </c>
      <c r="H2" t="s">
        <v>60</v>
      </c>
    </row>
    <row r="3" spans="1:11" x14ac:dyDescent="0.2">
      <c r="A3" s="7" t="s">
        <v>36</v>
      </c>
      <c r="B3" s="8">
        <v>17.5</v>
      </c>
      <c r="C3">
        <v>16.399999999999999</v>
      </c>
      <c r="D3">
        <v>16.899999999999999</v>
      </c>
      <c r="E3" s="9">
        <f>D3/SUM($D$3:$D$20)</f>
        <v>0.16933867735470942</v>
      </c>
      <c r="G3">
        <v>1</v>
      </c>
      <c r="H3">
        <f>E3/4</f>
        <v>4.2334669338677355E-2</v>
      </c>
    </row>
    <row r="4" spans="1:11" x14ac:dyDescent="0.2">
      <c r="A4" s="7" t="s">
        <v>37</v>
      </c>
      <c r="B4" s="8">
        <v>17.899999999999999</v>
      </c>
      <c r="C4">
        <v>16.8</v>
      </c>
      <c r="D4">
        <v>17.399999999999999</v>
      </c>
      <c r="E4" s="9">
        <f t="shared" ref="E4:E20" si="0">D4/SUM($D$3:$D$20)</f>
        <v>0.17434869739478956</v>
      </c>
      <c r="G4">
        <v>2</v>
      </c>
      <c r="H4">
        <f>E3/4</f>
        <v>4.2334669338677355E-2</v>
      </c>
    </row>
    <row r="5" spans="1:11" x14ac:dyDescent="0.2">
      <c r="A5" s="7" t="s">
        <v>38</v>
      </c>
      <c r="B5" s="8">
        <v>15.4</v>
      </c>
      <c r="C5">
        <v>16.3</v>
      </c>
      <c r="D5">
        <v>15.8</v>
      </c>
      <c r="E5" s="9">
        <f t="shared" si="0"/>
        <v>0.15831663326653309</v>
      </c>
      <c r="G5">
        <v>3</v>
      </c>
      <c r="H5">
        <f>E3/4</f>
        <v>4.2334669338677355E-2</v>
      </c>
    </row>
    <row r="6" spans="1:11" x14ac:dyDescent="0.2">
      <c r="A6" s="7" t="s">
        <v>39</v>
      </c>
      <c r="B6" s="8">
        <v>11.5</v>
      </c>
      <c r="C6">
        <v>9.1999999999999993</v>
      </c>
      <c r="D6">
        <v>10.3</v>
      </c>
      <c r="E6" s="9">
        <f t="shared" si="0"/>
        <v>0.10320641282565131</v>
      </c>
      <c r="G6">
        <v>4</v>
      </c>
      <c r="H6">
        <f>E3/4</f>
        <v>4.2334669338677355E-2</v>
      </c>
    </row>
    <row r="7" spans="1:11" x14ac:dyDescent="0.2">
      <c r="A7" s="7" t="s">
        <v>40</v>
      </c>
      <c r="B7" s="8">
        <v>6.6</v>
      </c>
      <c r="C7">
        <v>7.6</v>
      </c>
      <c r="D7">
        <v>7.1</v>
      </c>
      <c r="E7" s="9">
        <f t="shared" si="0"/>
        <v>7.1142284569138278E-2</v>
      </c>
      <c r="G7">
        <v>5</v>
      </c>
      <c r="H7">
        <f>E4/5</f>
        <v>3.4869739478957912E-2</v>
      </c>
    </row>
    <row r="8" spans="1:11" x14ac:dyDescent="0.2">
      <c r="A8" s="7" t="s">
        <v>41</v>
      </c>
      <c r="B8" s="8">
        <v>5.5</v>
      </c>
      <c r="C8">
        <v>6.8</v>
      </c>
      <c r="D8">
        <v>6.1</v>
      </c>
      <c r="E8" s="9">
        <f t="shared" si="0"/>
        <v>6.1122244488977955E-2</v>
      </c>
      <c r="G8">
        <v>6</v>
      </c>
      <c r="H8">
        <f>E4/5</f>
        <v>3.4869739478957912E-2</v>
      </c>
    </row>
    <row r="9" spans="1:11" x14ac:dyDescent="0.2">
      <c r="A9" s="7" t="s">
        <v>42</v>
      </c>
      <c r="B9" s="8">
        <v>4.9000000000000004</v>
      </c>
      <c r="C9">
        <v>5.6</v>
      </c>
      <c r="D9">
        <v>5.2</v>
      </c>
      <c r="E9" s="9">
        <f t="shared" si="0"/>
        <v>5.2104208416833671E-2</v>
      </c>
      <c r="G9">
        <v>7</v>
      </c>
      <c r="H9">
        <f>E4/5</f>
        <v>3.4869739478957912E-2</v>
      </c>
    </row>
    <row r="10" spans="1:11" x14ac:dyDescent="0.2">
      <c r="A10" s="7" t="s">
        <v>43</v>
      </c>
      <c r="B10" s="8">
        <v>4.5999999999999996</v>
      </c>
      <c r="C10">
        <v>4.5999999999999996</v>
      </c>
      <c r="D10">
        <v>4.5999999999999996</v>
      </c>
      <c r="E10" s="9">
        <f t="shared" si="0"/>
        <v>4.6092184368737472E-2</v>
      </c>
      <c r="G10">
        <v>8</v>
      </c>
      <c r="H10">
        <f>E4/5</f>
        <v>3.4869739478957912E-2</v>
      </c>
    </row>
    <row r="11" spans="1:11" x14ac:dyDescent="0.2">
      <c r="A11" s="7" t="s">
        <v>44</v>
      </c>
      <c r="B11" s="8">
        <v>3.8</v>
      </c>
      <c r="C11">
        <v>3.6</v>
      </c>
      <c r="D11">
        <v>3.7</v>
      </c>
      <c r="E11" s="9">
        <f t="shared" si="0"/>
        <v>3.7074148296593189E-2</v>
      </c>
      <c r="G11">
        <v>9</v>
      </c>
      <c r="H11">
        <f>E4/5</f>
        <v>3.4869739478957912E-2</v>
      </c>
    </row>
    <row r="12" spans="1:11" x14ac:dyDescent="0.2">
      <c r="A12" s="7" t="s">
        <v>45</v>
      </c>
      <c r="B12" s="8">
        <v>3.5</v>
      </c>
      <c r="C12">
        <v>2.5</v>
      </c>
      <c r="D12">
        <v>3</v>
      </c>
      <c r="E12" s="9">
        <f t="shared" si="0"/>
        <v>3.0060120240480964E-2</v>
      </c>
      <c r="G12">
        <v>10</v>
      </c>
      <c r="H12">
        <f>E5/5</f>
        <v>3.1663326653306616E-2</v>
      </c>
    </row>
    <row r="13" spans="1:11" x14ac:dyDescent="0.2">
      <c r="A13" s="7" t="s">
        <v>46</v>
      </c>
      <c r="B13" s="8">
        <v>2.5</v>
      </c>
      <c r="C13">
        <v>3.5</v>
      </c>
      <c r="D13">
        <v>3</v>
      </c>
      <c r="E13" s="9">
        <f t="shared" si="0"/>
        <v>3.0060120240480964E-2</v>
      </c>
      <c r="G13">
        <v>11</v>
      </c>
      <c r="H13">
        <f>E5/5</f>
        <v>3.1663326653306616E-2</v>
      </c>
    </row>
    <row r="14" spans="1:11" x14ac:dyDescent="0.2">
      <c r="A14" s="7" t="s">
        <v>47</v>
      </c>
      <c r="B14" s="8">
        <v>1.9</v>
      </c>
      <c r="C14">
        <v>1.8</v>
      </c>
      <c r="D14">
        <v>1.9</v>
      </c>
      <c r="E14" s="9">
        <f t="shared" si="0"/>
        <v>1.9038076152304607E-2</v>
      </c>
      <c r="G14">
        <v>12</v>
      </c>
      <c r="H14">
        <f>E5/5</f>
        <v>3.1663326653306616E-2</v>
      </c>
      <c r="J14" s="12"/>
    </row>
    <row r="15" spans="1:11" x14ac:dyDescent="0.2">
      <c r="A15" s="7" t="s">
        <v>48</v>
      </c>
      <c r="B15" s="8">
        <v>1.4</v>
      </c>
      <c r="C15">
        <v>1.7</v>
      </c>
      <c r="D15">
        <v>1.5</v>
      </c>
      <c r="E15" s="9">
        <f t="shared" si="0"/>
        <v>1.5030060120240482E-2</v>
      </c>
      <c r="G15">
        <v>13</v>
      </c>
      <c r="H15">
        <f>E5/5</f>
        <v>3.1663326653306616E-2</v>
      </c>
    </row>
    <row r="16" spans="1:11" x14ac:dyDescent="0.2">
      <c r="A16" s="7" t="s">
        <v>49</v>
      </c>
      <c r="B16" s="8">
        <v>1</v>
      </c>
      <c r="C16">
        <v>1.1000000000000001</v>
      </c>
      <c r="D16">
        <v>1</v>
      </c>
      <c r="E16" s="9">
        <f t="shared" si="0"/>
        <v>1.002004008016032E-2</v>
      </c>
      <c r="G16">
        <v>14</v>
      </c>
      <c r="H16">
        <f>E5/5</f>
        <v>3.1663326653306616E-2</v>
      </c>
    </row>
    <row r="17" spans="1:8" x14ac:dyDescent="0.2">
      <c r="A17" s="7" t="s">
        <v>50</v>
      </c>
      <c r="B17" s="8">
        <v>0.8</v>
      </c>
      <c r="C17">
        <v>1.1000000000000001</v>
      </c>
      <c r="D17">
        <v>0.9</v>
      </c>
      <c r="E17" s="9">
        <f t="shared" si="0"/>
        <v>9.0180360721442889E-3</v>
      </c>
      <c r="G17">
        <v>15</v>
      </c>
      <c r="H17" s="9">
        <f>E6+E7</f>
        <v>0.17434869739478959</v>
      </c>
    </row>
    <row r="18" spans="1:8" x14ac:dyDescent="0.2">
      <c r="A18" s="7" t="s">
        <v>51</v>
      </c>
      <c r="B18" s="8">
        <v>0.5</v>
      </c>
      <c r="C18">
        <v>0.6</v>
      </c>
      <c r="D18">
        <v>0.5</v>
      </c>
      <c r="E18" s="9">
        <f t="shared" si="0"/>
        <v>5.0100200400801601E-3</v>
      </c>
      <c r="G18">
        <v>25</v>
      </c>
      <c r="H18" s="9">
        <f>E8+E9</f>
        <v>0.11322645290581163</v>
      </c>
    </row>
    <row r="19" spans="1:8" x14ac:dyDescent="0.2">
      <c r="A19" s="7" t="s">
        <v>52</v>
      </c>
      <c r="B19" s="8">
        <v>0.7</v>
      </c>
      <c r="C19">
        <v>1</v>
      </c>
      <c r="D19">
        <v>0.9</v>
      </c>
      <c r="E19" s="9">
        <f t="shared" si="0"/>
        <v>9.0180360721442889E-3</v>
      </c>
      <c r="G19">
        <v>35</v>
      </c>
      <c r="H19" s="9">
        <f>E10+E11</f>
        <v>8.3166332665330661E-2</v>
      </c>
    </row>
    <row r="20" spans="1:8" x14ac:dyDescent="0.2">
      <c r="A20" s="7" t="s">
        <v>53</v>
      </c>
      <c r="B20" s="8">
        <v>0</v>
      </c>
      <c r="C20">
        <v>0</v>
      </c>
      <c r="D20">
        <v>0</v>
      </c>
      <c r="E20" s="9">
        <f t="shared" si="0"/>
        <v>0</v>
      </c>
      <c r="G20">
        <v>45</v>
      </c>
      <c r="H20" s="9">
        <f>E12+E13</f>
        <v>6.0120240480961928E-2</v>
      </c>
    </row>
    <row r="21" spans="1:8" x14ac:dyDescent="0.2">
      <c r="A21" s="7" t="s">
        <v>54</v>
      </c>
      <c r="B21">
        <f>SUM(B3:B20)</f>
        <v>100</v>
      </c>
      <c r="C21">
        <f>SUM(C3:C20)</f>
        <v>100.19999999999996</v>
      </c>
      <c r="D21">
        <f>SUM(D3:D20)</f>
        <v>99.8</v>
      </c>
      <c r="E21" s="9">
        <f>SUM(E3:E20)</f>
        <v>1</v>
      </c>
      <c r="G21">
        <v>55</v>
      </c>
      <c r="H21" s="9">
        <f>E14+E15</f>
        <v>3.406813627254509E-2</v>
      </c>
    </row>
    <row r="22" spans="1:8" x14ac:dyDescent="0.2">
      <c r="G22">
        <v>65</v>
      </c>
      <c r="H22" s="9">
        <f>SUM(E16:E19)</f>
        <v>3.3066132264529056E-2</v>
      </c>
    </row>
    <row r="23" spans="1:8" x14ac:dyDescent="0.2">
      <c r="G23" s="10" t="s">
        <v>61</v>
      </c>
      <c r="H23" s="10">
        <f>SUM(H3:H22)</f>
        <v>1</v>
      </c>
    </row>
  </sheetData>
  <mergeCells count="3">
    <mergeCell ref="B1:D1"/>
    <mergeCell ref="G1:H1"/>
    <mergeCell ref="J1: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B26C0-692F-4842-9035-21A9F563F231}">
  <dimension ref="A1:P45"/>
  <sheetViews>
    <sheetView tabSelected="1" workbookViewId="0">
      <selection activeCell="M2" sqref="M2:M18"/>
    </sheetView>
  </sheetViews>
  <sheetFormatPr baseColWidth="10" defaultColWidth="8.83203125" defaultRowHeight="15" x14ac:dyDescent="0.2"/>
  <cols>
    <col min="1" max="1" width="14.33203125" bestFit="1" customWidth="1"/>
    <col min="2" max="3" width="15.5" customWidth="1"/>
    <col min="4" max="4" width="28.33203125" customWidth="1"/>
    <col min="5" max="5" width="14.33203125" customWidth="1"/>
    <col min="8" max="8" width="11" bestFit="1" customWidth="1"/>
    <col min="9" max="9" width="7.5" bestFit="1" customWidth="1"/>
    <col min="10" max="10" width="15.33203125" bestFit="1" customWidth="1"/>
    <col min="11" max="11" width="18.1640625" bestFit="1" customWidth="1"/>
    <col min="12" max="12" width="15" bestFit="1" customWidth="1"/>
    <col min="13" max="13" width="18.33203125" bestFit="1" customWidth="1"/>
    <col min="14" max="14" width="9.1640625" customWidth="1"/>
    <col min="15" max="15" width="13.83203125" bestFit="1" customWidth="1"/>
  </cols>
  <sheetData>
    <row r="1" spans="1:16" x14ac:dyDescent="0.2">
      <c r="A1" s="36" t="s">
        <v>72</v>
      </c>
      <c r="B1" s="36"/>
      <c r="C1" s="36"/>
      <c r="D1" s="36"/>
      <c r="E1" s="11"/>
      <c r="J1" s="36" t="s">
        <v>73</v>
      </c>
      <c r="K1" s="36"/>
      <c r="L1" s="36"/>
      <c r="M1" s="36"/>
      <c r="N1" s="11"/>
    </row>
    <row r="2" spans="1:16" x14ac:dyDescent="0.2">
      <c r="B2" s="10" t="s">
        <v>74</v>
      </c>
      <c r="C2" s="10" t="s">
        <v>75</v>
      </c>
      <c r="D2" s="10" t="s">
        <v>76</v>
      </c>
      <c r="E2" s="10" t="s">
        <v>69</v>
      </c>
      <c r="H2" s="10" t="s">
        <v>77</v>
      </c>
      <c r="I2" s="10" t="s">
        <v>78</v>
      </c>
      <c r="J2" s="10" t="s">
        <v>79</v>
      </c>
      <c r="K2" s="10" t="s">
        <v>80</v>
      </c>
      <c r="L2" s="10" t="s">
        <v>81</v>
      </c>
      <c r="M2" s="30" t="s">
        <v>82</v>
      </c>
      <c r="N2" s="10"/>
      <c r="O2" t="s">
        <v>83</v>
      </c>
      <c r="P2" s="10" t="s">
        <v>61</v>
      </c>
    </row>
    <row r="3" spans="1:16" x14ac:dyDescent="0.2">
      <c r="A3" s="1" t="s">
        <v>84</v>
      </c>
      <c r="B3" s="38">
        <v>0.16933867735470901</v>
      </c>
      <c r="C3" s="13">
        <v>64.78</v>
      </c>
      <c r="D3">
        <v>5.0999999999999997E-2</v>
      </c>
      <c r="E3">
        <v>0.95599999999999996</v>
      </c>
      <c r="H3">
        <v>1</v>
      </c>
      <c r="I3" s="1" t="s">
        <v>85</v>
      </c>
      <c r="J3">
        <v>1</v>
      </c>
      <c r="K3" s="37" t="s">
        <v>86</v>
      </c>
      <c r="L3">
        <f>B29</f>
        <v>4.3999999999999997E-2</v>
      </c>
      <c r="M3" s="31">
        <f t="shared" ref="M3:M8" si="0">ROUND(L3*(1-$G$29),$B$24)</f>
        <v>4.2860000000000002E-2</v>
      </c>
      <c r="O3">
        <f>L3*G29</f>
        <v>1.1351999999999998E-3</v>
      </c>
      <c r="P3">
        <f>M3+O3</f>
        <v>4.3995200000000005E-2</v>
      </c>
    </row>
    <row r="4" spans="1:16" x14ac:dyDescent="0.2">
      <c r="A4" s="7" t="s">
        <v>36</v>
      </c>
      <c r="B4" s="38"/>
      <c r="C4" s="39">
        <v>61.91</v>
      </c>
      <c r="D4">
        <v>2.0400000000000001E-2</v>
      </c>
      <c r="E4">
        <v>0.94099999999999995</v>
      </c>
      <c r="F4" s="1"/>
      <c r="G4" s="1"/>
      <c r="H4">
        <v>2</v>
      </c>
      <c r="I4" s="1">
        <v>2</v>
      </c>
      <c r="J4">
        <v>2</v>
      </c>
      <c r="K4" s="37"/>
      <c r="L4">
        <f t="shared" ref="L4:L15" si="1">B30</f>
        <v>2.9950000000000001E-2</v>
      </c>
      <c r="M4" s="31">
        <f t="shared" si="0"/>
        <v>2.9180000000000001E-2</v>
      </c>
    </row>
    <row r="5" spans="1:16" x14ac:dyDescent="0.2">
      <c r="A5" s="7" t="s">
        <v>37</v>
      </c>
      <c r="B5" s="9">
        <v>0.17434869739479</v>
      </c>
      <c r="C5" s="39"/>
      <c r="D5" s="40">
        <v>6.0000000000000001E-3</v>
      </c>
      <c r="E5" s="40">
        <v>0.95899999999999996</v>
      </c>
      <c r="F5" s="1"/>
      <c r="G5" s="1"/>
      <c r="H5">
        <v>3</v>
      </c>
      <c r="I5" s="1">
        <v>3</v>
      </c>
      <c r="J5">
        <v>3</v>
      </c>
      <c r="K5" s="37"/>
      <c r="L5">
        <f t="shared" si="1"/>
        <v>2.0070000000000001E-2</v>
      </c>
      <c r="M5" s="31">
        <f t="shared" si="0"/>
        <v>1.9550000000000001E-2</v>
      </c>
    </row>
    <row r="6" spans="1:16" x14ac:dyDescent="0.2">
      <c r="A6" s="7" t="s">
        <v>38</v>
      </c>
      <c r="B6" s="9">
        <v>0.158316633266533</v>
      </c>
      <c r="C6" s="13">
        <v>57.35</v>
      </c>
      <c r="D6" s="40"/>
      <c r="E6" s="40"/>
      <c r="F6" s="1"/>
      <c r="G6" s="1"/>
      <c r="H6">
        <v>4</v>
      </c>
      <c r="I6" s="1">
        <v>4</v>
      </c>
      <c r="J6">
        <v>4</v>
      </c>
      <c r="K6" s="37"/>
      <c r="L6">
        <f t="shared" si="1"/>
        <v>1.5089999999999999E-2</v>
      </c>
      <c r="M6" s="31">
        <f t="shared" si="0"/>
        <v>1.47E-2</v>
      </c>
    </row>
    <row r="7" spans="1:16" x14ac:dyDescent="0.2">
      <c r="A7" s="7" t="s">
        <v>39</v>
      </c>
      <c r="B7" s="9">
        <v>0.103206412825651</v>
      </c>
      <c r="C7" s="13">
        <v>52.66</v>
      </c>
      <c r="D7" s="34">
        <v>6.3E-3</v>
      </c>
      <c r="E7" s="34">
        <v>0.72899999999999998</v>
      </c>
      <c r="F7" s="1"/>
      <c r="G7" s="1"/>
      <c r="H7">
        <v>5</v>
      </c>
      <c r="I7" s="1">
        <v>5</v>
      </c>
      <c r="J7">
        <v>5</v>
      </c>
      <c r="K7" s="37" t="s">
        <v>87</v>
      </c>
      <c r="L7">
        <f t="shared" si="1"/>
        <v>1.209E-2</v>
      </c>
      <c r="M7" s="31">
        <f t="shared" si="0"/>
        <v>1.1780000000000001E-2</v>
      </c>
    </row>
    <row r="8" spans="1:16" x14ac:dyDescent="0.2">
      <c r="A8" s="7" t="s">
        <v>40</v>
      </c>
      <c r="B8" s="9">
        <v>7.1142284569138306E-2</v>
      </c>
      <c r="C8" s="13">
        <v>48.12</v>
      </c>
      <c r="D8" s="34"/>
      <c r="E8" s="34"/>
      <c r="F8" s="1"/>
      <c r="G8" s="1"/>
      <c r="H8">
        <v>6</v>
      </c>
      <c r="I8" s="1">
        <v>6</v>
      </c>
      <c r="J8">
        <v>6</v>
      </c>
      <c r="K8" s="37"/>
      <c r="L8">
        <f t="shared" si="1"/>
        <v>6.8999999999999997E-4</v>
      </c>
      <c r="M8" s="31">
        <f t="shared" si="0"/>
        <v>6.7000000000000002E-4</v>
      </c>
    </row>
    <row r="9" spans="1:16" x14ac:dyDescent="0.2">
      <c r="A9" s="7" t="s">
        <v>41</v>
      </c>
      <c r="B9" s="9">
        <v>6.1122244488978003E-2</v>
      </c>
      <c r="C9" s="13">
        <v>43.77</v>
      </c>
      <c r="D9" s="34"/>
      <c r="E9" s="34"/>
      <c r="F9" s="1"/>
      <c r="G9" s="1"/>
      <c r="H9">
        <v>7</v>
      </c>
      <c r="I9" s="1">
        <v>7</v>
      </c>
      <c r="J9">
        <v>7</v>
      </c>
      <c r="K9" s="37"/>
      <c r="L9">
        <f t="shared" si="1"/>
        <v>6.8999999999999997E-4</v>
      </c>
      <c r="M9" s="31">
        <f t="shared" ref="M9:M12" si="2">ROUND(L9*(1-$G$29),$B$24)</f>
        <v>6.7000000000000002E-4</v>
      </c>
    </row>
    <row r="10" spans="1:16" x14ac:dyDescent="0.2">
      <c r="A10" s="7" t="s">
        <v>42</v>
      </c>
      <c r="B10" s="9">
        <v>5.2104208416833699E-2</v>
      </c>
      <c r="C10" s="13">
        <v>39.53</v>
      </c>
      <c r="D10" s="34"/>
      <c r="E10" s="34"/>
      <c r="F10" s="1"/>
      <c r="G10" s="1"/>
      <c r="H10">
        <v>8</v>
      </c>
      <c r="I10" s="1">
        <v>8</v>
      </c>
      <c r="J10">
        <v>8</v>
      </c>
      <c r="K10" s="37"/>
      <c r="L10">
        <f t="shared" si="1"/>
        <v>6.9999999999999999E-4</v>
      </c>
      <c r="M10" s="31">
        <f t="shared" si="2"/>
        <v>6.8000000000000005E-4</v>
      </c>
    </row>
    <row r="11" spans="1:16" x14ac:dyDescent="0.2">
      <c r="A11" s="7" t="s">
        <v>43</v>
      </c>
      <c r="B11" s="9">
        <v>4.60921843687375E-2</v>
      </c>
      <c r="C11" s="13">
        <v>35.39</v>
      </c>
      <c r="D11" s="34"/>
      <c r="E11" s="34"/>
      <c r="G11" s="1"/>
      <c r="H11">
        <v>9</v>
      </c>
      <c r="I11" s="1">
        <v>9</v>
      </c>
      <c r="J11">
        <v>9</v>
      </c>
      <c r="K11" s="37"/>
      <c r="L11">
        <f t="shared" si="1"/>
        <v>7.2999999999999996E-4</v>
      </c>
      <c r="M11" s="31">
        <f t="shared" si="2"/>
        <v>7.1000000000000002E-4</v>
      </c>
    </row>
    <row r="12" spans="1:16" x14ac:dyDescent="0.2">
      <c r="A12" s="7" t="s">
        <v>44</v>
      </c>
      <c r="B12" s="9">
        <v>3.7074148296593189E-2</v>
      </c>
      <c r="C12" s="13">
        <v>31.37</v>
      </c>
      <c r="D12" s="34"/>
      <c r="E12" s="34"/>
      <c r="G12" s="1"/>
      <c r="H12">
        <v>10</v>
      </c>
      <c r="I12" s="1">
        <v>10</v>
      </c>
      <c r="J12">
        <v>10</v>
      </c>
      <c r="K12" s="37"/>
      <c r="L12">
        <f t="shared" si="1"/>
        <v>7.2999999999999996E-4</v>
      </c>
      <c r="M12" s="31">
        <f t="shared" si="2"/>
        <v>7.1000000000000002E-4</v>
      </c>
    </row>
    <row r="13" spans="1:16" x14ac:dyDescent="0.2">
      <c r="A13" s="7" t="s">
        <v>45</v>
      </c>
      <c r="B13" s="9">
        <v>3.0060120240480964E-2</v>
      </c>
      <c r="C13" s="13">
        <v>27.44</v>
      </c>
      <c r="D13" s="34"/>
      <c r="E13" s="34"/>
      <c r="G13" s="1"/>
      <c r="H13">
        <v>11</v>
      </c>
      <c r="I13" s="1">
        <v>11</v>
      </c>
      <c r="J13">
        <v>11</v>
      </c>
      <c r="K13" s="37"/>
      <c r="L13">
        <f t="shared" si="1"/>
        <v>7.3999999999999999E-4</v>
      </c>
      <c r="M13" s="31">
        <f>ROUND(L13*(1-$G$29),$B$24)</f>
        <v>7.2000000000000005E-4</v>
      </c>
    </row>
    <row r="14" spans="1:16" x14ac:dyDescent="0.2">
      <c r="A14" s="7" t="s">
        <v>46</v>
      </c>
      <c r="B14" s="9">
        <v>3.0060120240480964E-2</v>
      </c>
      <c r="C14" s="13">
        <v>23.59</v>
      </c>
      <c r="D14" s="34"/>
      <c r="E14" s="34"/>
      <c r="G14" s="1"/>
      <c r="H14">
        <v>15</v>
      </c>
      <c r="I14" s="7" t="s">
        <v>88</v>
      </c>
      <c r="J14">
        <v>15</v>
      </c>
      <c r="K14" s="37" t="s">
        <v>89</v>
      </c>
      <c r="L14">
        <f t="shared" si="1"/>
        <v>7.9000000000000001E-4</v>
      </c>
      <c r="M14" s="31">
        <f>ROUND(L14*(1-$G$30),$B$24)</f>
        <v>7.7999999999999999E-4</v>
      </c>
    </row>
    <row r="15" spans="1:16" x14ac:dyDescent="0.2">
      <c r="A15" s="7" t="s">
        <v>47</v>
      </c>
      <c r="B15" s="9">
        <v>1.9038076152304607E-2</v>
      </c>
      <c r="C15" s="13">
        <v>19.91</v>
      </c>
      <c r="D15" s="34"/>
      <c r="E15" s="34"/>
      <c r="G15" s="1"/>
      <c r="H15">
        <v>20</v>
      </c>
      <c r="I15" s="1" t="s">
        <v>90</v>
      </c>
      <c r="J15">
        <v>20</v>
      </c>
      <c r="K15" s="37"/>
      <c r="L15">
        <f t="shared" si="1"/>
        <v>6.5500000000000003E-3</v>
      </c>
      <c r="M15" s="31">
        <f>ROUND(L15*(1-$G$30),$B$24)</f>
        <v>6.4900000000000001E-3</v>
      </c>
    </row>
    <row r="16" spans="1:16" x14ac:dyDescent="0.2">
      <c r="A16" s="7" t="s">
        <v>48</v>
      </c>
      <c r="B16" s="9">
        <v>1.5030060120240482E-2</v>
      </c>
      <c r="C16" s="13">
        <v>16.34</v>
      </c>
      <c r="E16">
        <f>ROUND(1/C16, B24)</f>
        <v>6.1199999999999997E-2</v>
      </c>
      <c r="G16" s="1"/>
      <c r="H16">
        <v>60</v>
      </c>
      <c r="I16" s="1" t="s">
        <v>91</v>
      </c>
      <c r="J16">
        <v>25</v>
      </c>
      <c r="K16" s="37"/>
      <c r="L16">
        <f>B42</f>
        <v>7.1999999999999998E-3</v>
      </c>
      <c r="M16" s="31">
        <f>ROUND(L16*(1-$G$31),$B$24)</f>
        <v>7.1700000000000002E-3</v>
      </c>
    </row>
    <row r="17" spans="1:13" x14ac:dyDescent="0.2">
      <c r="A17" s="7" t="s">
        <v>49</v>
      </c>
      <c r="B17" s="9">
        <v>1.002004008016032E-2</v>
      </c>
      <c r="C17" s="13">
        <v>13.02</v>
      </c>
      <c r="G17" s="1"/>
      <c r="H17">
        <v>100</v>
      </c>
      <c r="I17" s="1" t="s">
        <v>92</v>
      </c>
      <c r="J17">
        <v>60</v>
      </c>
      <c r="K17" s="1" t="s">
        <v>93</v>
      </c>
      <c r="L17">
        <f>B43</f>
        <v>6.1199999999999997E-2</v>
      </c>
      <c r="M17" s="31">
        <f>ROUND(L17*(1-$G$34),$B$24)</f>
        <v>6.1150000000000003E-2</v>
      </c>
    </row>
    <row r="18" spans="1:13" x14ac:dyDescent="0.2">
      <c r="A18" s="7" t="s">
        <v>50</v>
      </c>
      <c r="B18" s="9">
        <v>9.0180360721442889E-3</v>
      </c>
      <c r="C18" s="13">
        <v>10.029999999999999</v>
      </c>
      <c r="G18" s="1"/>
      <c r="I18" s="1" t="s">
        <v>94</v>
      </c>
      <c r="J18">
        <v>100</v>
      </c>
      <c r="K18" s="1" t="s">
        <v>95</v>
      </c>
      <c r="L18">
        <f>B44</f>
        <v>0.19011</v>
      </c>
      <c r="M18" s="31">
        <f>ROUND(L18*(1-$G$34),$B$24)</f>
        <v>0.18995999999999999</v>
      </c>
    </row>
    <row r="19" spans="1:13" x14ac:dyDescent="0.2">
      <c r="A19" s="7" t="s">
        <v>51</v>
      </c>
      <c r="B19" s="9">
        <v>5.0100200400801601E-3</v>
      </c>
      <c r="C19" s="13">
        <v>7.44</v>
      </c>
      <c r="G19" s="1"/>
      <c r="I19" s="1"/>
      <c r="K19" s="1"/>
    </row>
    <row r="20" spans="1:13" x14ac:dyDescent="0.2">
      <c r="A20" s="7" t="s">
        <v>52</v>
      </c>
      <c r="B20" s="9">
        <v>9.0180360721442889E-3</v>
      </c>
      <c r="C20" s="13">
        <v>5.26</v>
      </c>
      <c r="E20">
        <f>ROUND(1/C20, B24)</f>
        <v>0.19011</v>
      </c>
      <c r="F20" s="1"/>
      <c r="G20" s="1"/>
      <c r="I20" s="1"/>
      <c r="K20" s="1"/>
    </row>
    <row r="22" spans="1:13" x14ac:dyDescent="0.2">
      <c r="A22" s="7" t="s">
        <v>6</v>
      </c>
      <c r="B22" s="15" t="s">
        <v>35</v>
      </c>
      <c r="C22" s="15" t="s">
        <v>96</v>
      </c>
      <c r="D22" s="15" t="s">
        <v>97</v>
      </c>
      <c r="E22" s="15"/>
    </row>
    <row r="24" spans="1:13" x14ac:dyDescent="0.2">
      <c r="A24" s="7" t="s">
        <v>98</v>
      </c>
      <c r="B24">
        <v>5</v>
      </c>
    </row>
    <row r="27" spans="1:13" x14ac:dyDescent="0.2">
      <c r="A27" s="36" t="s">
        <v>99</v>
      </c>
      <c r="B27" s="36"/>
      <c r="C27" s="12"/>
      <c r="D27" s="12"/>
      <c r="F27" s="36" t="s">
        <v>100</v>
      </c>
      <c r="G27" s="36"/>
      <c r="I27" s="11"/>
      <c r="K27" s="11"/>
    </row>
    <row r="28" spans="1:13" x14ac:dyDescent="0.2">
      <c r="B28" s="10" t="s">
        <v>70</v>
      </c>
      <c r="C28" s="10" t="s">
        <v>71</v>
      </c>
      <c r="D28" s="10"/>
      <c r="F28" t="s">
        <v>62</v>
      </c>
      <c r="G28" t="s">
        <v>101</v>
      </c>
    </row>
    <row r="29" spans="1:13" x14ac:dyDescent="0.2">
      <c r="A29" s="1">
        <v>1</v>
      </c>
      <c r="B29">
        <v>4.3999999999999997E-2</v>
      </c>
      <c r="D29" t="s">
        <v>102</v>
      </c>
      <c r="F29" s="1" t="s">
        <v>63</v>
      </c>
      <c r="G29">
        <v>2.58E-2</v>
      </c>
    </row>
    <row r="30" spans="1:13" x14ac:dyDescent="0.2">
      <c r="A30" s="1">
        <v>2</v>
      </c>
      <c r="B30">
        <f>ROUND(1-$E$4^(1/A30),$B$24)</f>
        <v>2.9950000000000001E-2</v>
      </c>
      <c r="D30" s="33" t="s">
        <v>103</v>
      </c>
      <c r="F30" s="1" t="s">
        <v>64</v>
      </c>
      <c r="G30">
        <v>9.1000000000000004E-3</v>
      </c>
    </row>
    <row r="31" spans="1:13" x14ac:dyDescent="0.2">
      <c r="A31" s="1">
        <v>3</v>
      </c>
      <c r="B31">
        <f>ROUND(1-$E$4^(1/A31),$B$24)</f>
        <v>2.0070000000000001E-2</v>
      </c>
      <c r="D31" s="33"/>
      <c r="F31" s="1" t="s">
        <v>65</v>
      </c>
      <c r="G31">
        <v>4.5999999999999999E-3</v>
      </c>
    </row>
    <row r="32" spans="1:13" x14ac:dyDescent="0.2">
      <c r="A32" s="1">
        <v>4</v>
      </c>
      <c r="B32">
        <f>ROUND(1-$E$4^(1/A32),$B$24)</f>
        <v>1.5089999999999999E-2</v>
      </c>
      <c r="D32" s="33"/>
      <c r="F32" s="1" t="s">
        <v>66</v>
      </c>
      <c r="G32">
        <v>4.4000000000000003E-3</v>
      </c>
    </row>
    <row r="33" spans="1:7" x14ac:dyDescent="0.2">
      <c r="A33" s="1">
        <v>5</v>
      </c>
      <c r="B33">
        <f>ROUND(1-$E$4^(1/A33),$B$24)</f>
        <v>1.209E-2</v>
      </c>
      <c r="D33" s="33"/>
      <c r="F33" s="1" t="s">
        <v>67</v>
      </c>
      <c r="G33">
        <v>2.8999999999999998E-3</v>
      </c>
    </row>
    <row r="34" spans="1:7" x14ac:dyDescent="0.2">
      <c r="A34" s="1">
        <v>6</v>
      </c>
      <c r="B34">
        <f>ROUND(1-$E$5^(1/($C$4-C34)),$B$24)</f>
        <v>6.8999999999999997E-4</v>
      </c>
      <c r="C34" s="16">
        <f>ABS($C$6-$C$4)/(10-A34)</f>
        <v>1.1399999999999988</v>
      </c>
      <c r="D34" s="33" t="s">
        <v>104</v>
      </c>
      <c r="F34" s="1" t="s">
        <v>68</v>
      </c>
      <c r="G34">
        <v>8.0000000000000004E-4</v>
      </c>
    </row>
    <row r="35" spans="1:7" x14ac:dyDescent="0.2">
      <c r="A35" s="1">
        <v>7</v>
      </c>
      <c r="B35">
        <f>ROUND(1-$E$5^(1/($C$4-C35)),$B$24)</f>
        <v>6.8999999999999997E-4</v>
      </c>
      <c r="C35" s="16">
        <f>ABS($C$6-$C$4)/(10-A35)</f>
        <v>1.5199999999999985</v>
      </c>
      <c r="D35" s="33"/>
      <c r="F35" s="1"/>
    </row>
    <row r="36" spans="1:7" x14ac:dyDescent="0.2">
      <c r="A36" s="1">
        <v>8</v>
      </c>
      <c r="B36">
        <f>ROUND(1-$E$5^(1/($C$4-C36)),$B$24)</f>
        <v>6.9999999999999999E-4</v>
      </c>
      <c r="C36" s="16">
        <f>ABS($C$6-$C$4)/(10-A36)</f>
        <v>2.2799999999999976</v>
      </c>
      <c r="D36" s="33"/>
    </row>
    <row r="37" spans="1:7" x14ac:dyDescent="0.2">
      <c r="A37" s="1">
        <v>9</v>
      </c>
      <c r="B37">
        <f>ROUND(1-$E$5^(1/($C$4-C37)),$B$24)</f>
        <v>7.2999999999999996E-4</v>
      </c>
      <c r="C37" s="16">
        <f>ABS($C$6-$C$4)/(10-A37)</f>
        <v>4.5599999999999952</v>
      </c>
      <c r="D37" s="33"/>
    </row>
    <row r="38" spans="1:7" x14ac:dyDescent="0.2">
      <c r="A38" s="1">
        <v>10</v>
      </c>
      <c r="B38">
        <f>ROUND(1-$E$5^(1/($C$6-C38)),$B$24)</f>
        <v>7.2999999999999996E-4</v>
      </c>
      <c r="C38">
        <v>0</v>
      </c>
      <c r="D38" s="33"/>
    </row>
    <row r="39" spans="1:7" x14ac:dyDescent="0.2">
      <c r="A39" s="1">
        <v>11</v>
      </c>
      <c r="B39">
        <f>ROUND(1-$E$5^(1/($C$6-C39)),$B$24)</f>
        <v>7.3999999999999999E-4</v>
      </c>
      <c r="C39" s="16">
        <f>ABS(C6-C7)/(15-A39)</f>
        <v>1.1725000000000012</v>
      </c>
      <c r="D39" s="33"/>
    </row>
    <row r="40" spans="1:7" x14ac:dyDescent="0.2">
      <c r="A40" s="1">
        <v>15</v>
      </c>
      <c r="B40">
        <f>ROUND(1-$E$5^(1/$C$7),$B$24)</f>
        <v>7.9000000000000001E-4</v>
      </c>
      <c r="D40" s="33" t="s">
        <v>103</v>
      </c>
    </row>
    <row r="41" spans="1:7" x14ac:dyDescent="0.2">
      <c r="A41" s="1">
        <v>20</v>
      </c>
      <c r="B41">
        <f>ROUND(1-$E$7^(1/$C$8),$B$24)</f>
        <v>6.5500000000000003E-3</v>
      </c>
      <c r="D41" s="33"/>
    </row>
    <row r="42" spans="1:7" x14ac:dyDescent="0.2">
      <c r="A42" s="1">
        <v>25</v>
      </c>
      <c r="B42">
        <f>ROUND(1-$E$7^(1/$C$9),$B$24)</f>
        <v>7.1999999999999998E-3</v>
      </c>
      <c r="D42" s="17"/>
    </row>
    <row r="43" spans="1:7" x14ac:dyDescent="0.2">
      <c r="A43" s="1">
        <v>60</v>
      </c>
      <c r="B43">
        <f>ROUND($E$16,$B$24)</f>
        <v>6.1199999999999997E-2</v>
      </c>
      <c r="D43" s="33" t="s">
        <v>104</v>
      </c>
    </row>
    <row r="44" spans="1:7" x14ac:dyDescent="0.2">
      <c r="A44" s="1">
        <v>80</v>
      </c>
      <c r="B44" s="16">
        <f>ROUND(E20, B24)</f>
        <v>0.19011</v>
      </c>
      <c r="D44" s="33"/>
    </row>
    <row r="45" spans="1:7" x14ac:dyDescent="0.2">
      <c r="A45" s="1"/>
    </row>
  </sheetData>
  <mergeCells count="17">
    <mergeCell ref="A1:D1"/>
    <mergeCell ref="J1:M1"/>
    <mergeCell ref="B3:B4"/>
    <mergeCell ref="K3:K6"/>
    <mergeCell ref="C4:C5"/>
    <mergeCell ref="D5:D6"/>
    <mergeCell ref="E5:E6"/>
    <mergeCell ref="E7:E15"/>
    <mergeCell ref="K7:K13"/>
    <mergeCell ref="K14:K16"/>
    <mergeCell ref="A27:B27"/>
    <mergeCell ref="F27:G27"/>
    <mergeCell ref="D30:D33"/>
    <mergeCell ref="D34:D39"/>
    <mergeCell ref="D40:D41"/>
    <mergeCell ref="D43:D44"/>
    <mergeCell ref="D7:D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S2 - PfPR Data</vt:lpstr>
      <vt:lpstr>Table S3 - Mutations</vt:lpstr>
      <vt:lpstr>Table S4 - Population</vt:lpstr>
      <vt:lpstr>Table S5 - Mortality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Nguyen Tran</cp:lastModifiedBy>
  <dcterms:created xsi:type="dcterms:W3CDTF">2015-06-05T18:17:20Z</dcterms:created>
  <dcterms:modified xsi:type="dcterms:W3CDTF">2025-04-24T01:41:36Z</dcterms:modified>
</cp:coreProperties>
</file>